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NNAMA~1\AppData\Local\Temp\OneDocs\bncOFfrZ8UWp6XnrIz6_pQ\"/>
    </mc:Choice>
  </mc:AlternateContent>
  <xr:revisionPtr revIDLastSave="0" documentId="8_{699A5C8F-98BA-49D9-BEB1-4CA4BBDF0C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kstraryfirlit" sheetId="12" r:id="rId1"/>
    <sheet name="Fjárfestingar" sheetId="11" r:id="rId2"/>
    <sheet name="Rekstrarreikningur" sheetId="14" r:id="rId3"/>
  </sheets>
  <definedNames>
    <definedName name="_xlnm.Print_Area" localSheetId="1">Fjárfestingar!#REF!</definedName>
    <definedName name="_xlnm.Print_Area" localSheetId="2">Rekstrarreikningur!$A$1:$G$41</definedName>
    <definedName name="_xlnm.Print_Area" localSheetId="0">Rekstraryfirlit!#REF!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4" l="1"/>
  <c r="F20" i="14"/>
  <c r="G24" i="14"/>
  <c r="G26" i="14" s="1"/>
  <c r="E24" i="14"/>
  <c r="E26" i="14" s="1"/>
  <c r="G19" i="14"/>
  <c r="G20" i="14" s="1"/>
  <c r="E19" i="14"/>
  <c r="E20" i="14" s="1"/>
  <c r="J5" i="12" l="1"/>
  <c r="I5" i="12"/>
  <c r="D50" i="11" l="1"/>
  <c r="C50" i="11"/>
  <c r="F49" i="11"/>
  <c r="F48" i="11"/>
  <c r="E48" i="11"/>
  <c r="F47" i="11"/>
  <c r="E47" i="11"/>
  <c r="F46" i="11"/>
  <c r="E46" i="11"/>
  <c r="F45" i="11"/>
  <c r="E45" i="11"/>
  <c r="F44" i="11"/>
  <c r="E44" i="11"/>
  <c r="F38" i="11"/>
  <c r="E38" i="11"/>
  <c r="C35" i="11"/>
  <c r="F34" i="11"/>
  <c r="E34" i="11"/>
  <c r="F33" i="11"/>
  <c r="E33" i="11"/>
  <c r="D32" i="11"/>
  <c r="D35" i="11" s="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F14" i="11"/>
  <c r="E14" i="11"/>
  <c r="F13" i="11"/>
  <c r="E13" i="11"/>
  <c r="F12" i="11"/>
  <c r="E12" i="11"/>
  <c r="D10" i="11"/>
  <c r="F10" i="11" s="1"/>
  <c r="F9" i="11"/>
  <c r="E9" i="11"/>
  <c r="F8" i="11"/>
  <c r="E8" i="11"/>
  <c r="C7" i="11"/>
  <c r="F7" i="11" s="1"/>
  <c r="D6" i="11"/>
  <c r="E10" i="11" l="1"/>
  <c r="E50" i="11"/>
  <c r="D29" i="11"/>
  <c r="D40" i="11" s="1"/>
  <c r="D52" i="11" s="1"/>
  <c r="F35" i="11"/>
  <c r="E32" i="11"/>
  <c r="E35" i="11" s="1"/>
  <c r="F32" i="11"/>
  <c r="E7" i="11"/>
  <c r="C6" i="11"/>
  <c r="F50" i="11"/>
  <c r="F6" i="11" l="1"/>
  <c r="C29" i="11"/>
  <c r="E6" i="11"/>
  <c r="E29" i="11" s="1"/>
  <c r="F29" i="11" l="1"/>
  <c r="C40" i="11"/>
  <c r="F40" i="11" l="1"/>
  <c r="E40" i="11"/>
  <c r="C52" i="11"/>
  <c r="F52" i="11" l="1"/>
  <c r="E52" i="11"/>
  <c r="K192" i="12" l="1"/>
  <c r="H146" i="12"/>
  <c r="H5" i="12"/>
  <c r="K226" i="12"/>
  <c r="E5" i="12"/>
  <c r="B5" i="12"/>
  <c r="C5" i="12"/>
  <c r="D5" i="12"/>
  <c r="F5" i="12"/>
  <c r="J194" i="12"/>
  <c r="J228" i="12" s="1"/>
  <c r="I194" i="12"/>
  <c r="I228" i="12" s="1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3" i="12"/>
  <c r="I13" i="12" s="1"/>
  <c r="K13" i="12" s="1"/>
  <c r="K190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K8" i="12"/>
  <c r="K9" i="12"/>
  <c r="K10" i="12"/>
  <c r="K11" i="12"/>
  <c r="K12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7" i="12"/>
  <c r="K5" i="12" l="1"/>
  <c r="G5" i="12"/>
  <c r="K194" i="12"/>
  <c r="K228" i="12" s="1"/>
</calcChain>
</file>

<file path=xl/sharedStrings.xml><?xml version="1.0" encoding="utf-8"?>
<sst xmlns="http://schemas.openxmlformats.org/spreadsheetml/2006/main" count="361" uniqueCount="302">
  <si>
    <t>Frávik</t>
  </si>
  <si>
    <t>Málaflokkur / deild</t>
  </si>
  <si>
    <t>Samtals     tekjur</t>
  </si>
  <si>
    <t>Afskriftir</t>
  </si>
  <si>
    <t>Samtals gjöld</t>
  </si>
  <si>
    <t>Fjármagns-liðir</t>
  </si>
  <si>
    <t>Rekstrar- niðurstaða</t>
  </si>
  <si>
    <t>Fjárhags-áætlun</t>
  </si>
  <si>
    <t>SAMTALS</t>
  </si>
  <si>
    <t>Laun og    launatengd    gjöld</t>
  </si>
  <si>
    <t>Breyting lífeyrisskuld-bindinga</t>
  </si>
  <si>
    <t>Annar rekstrar-kostnaður</t>
  </si>
  <si>
    <t>0000..0999</t>
  </si>
  <si>
    <t>1000..1820|1822..1999</t>
  </si>
  <si>
    <t>2000..6999|9000..9999</t>
  </si>
  <si>
    <t>8000..8999</t>
  </si>
  <si>
    <t>7000..7999</t>
  </si>
  <si>
    <t>00  SKATTTEKJUR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</si>
  <si>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</si>
  <si>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</si>
  <si>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</si>
  <si>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</si>
  <si>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</si>
  <si>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</si>
  <si>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02170  Móttaka flóttafólks</t>
  </si>
  <si>
    <t>02180  Sérstakur húsnæðisstuðningur</t>
  </si>
  <si>
    <t>02190  Önnur félagsleg aðstoð</t>
  </si>
  <si>
    <t>02330  Niðurgreiðsla dvalargjalda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</si>
  <si>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</si>
  <si>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</si>
  <si>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</si>
  <si>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</si>
  <si>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</si>
  <si>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</si>
  <si>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</si>
  <si>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</si>
  <si>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</si>
  <si>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</si>
  <si>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</si>
  <si>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</si>
  <si>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</si>
  <si>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</si>
  <si>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</si>
  <si>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02810  Ýmsir styrkir - félagsmál</t>
  </si>
  <si>
    <t>03  HEILBRIGÐISMÁL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</si>
  <si>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</si>
  <si>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</si>
  <si>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</si>
  <si>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</si>
  <si>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</si>
  <si>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</si>
  <si>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</si>
  <si>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</si>
  <si>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</si>
  <si>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</si>
  <si>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</si>
  <si>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04203  Krikaskóli</t>
  </si>
  <si>
    <t>04205  Lágafellsskóli</t>
  </si>
  <si>
    <t>04208  Höfðaberg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</si>
  <si>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</si>
  <si>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</si>
  <si>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</si>
  <si>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</si>
  <si>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</si>
  <si>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</si>
  <si>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</si>
  <si>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</si>
  <si>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</si>
  <si>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</si>
  <si>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Menningar- og nýsköpunarnefnd</t>
  </si>
  <si>
    <t>05030  Laxnesssetur</t>
  </si>
  <si>
    <t>05220  Bókasafn</t>
  </si>
  <si>
    <t>05310  Héraðskjalasafn</t>
  </si>
  <si>
    <t>05510  Lista og menningarsjóður</t>
  </si>
  <si>
    <t>05520  Listasalur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</si>
  <si>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</si>
  <si>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</si>
  <si>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</si>
  <si>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</si>
  <si>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</si>
  <si>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</si>
  <si>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</si>
  <si>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</si>
  <si>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</si>
  <si>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</si>
  <si>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</si>
  <si>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</si>
  <si>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</si>
  <si>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</si>
  <si>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</si>
  <si>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</si>
  <si>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</si>
  <si>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</si>
  <si>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</si>
  <si>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</si>
  <si>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</si>
  <si>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</si>
  <si>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</si>
  <si>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</si>
  <si>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</si>
  <si>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</si>
  <si>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</si>
  <si>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</si>
  <si>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</si>
  <si>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</si>
  <si>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</si>
  <si>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</si>
  <si>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</si>
  <si>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</si>
  <si>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</si>
  <si>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</si>
  <si>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</si>
  <si>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</si>
  <si>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</si>
  <si>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</si>
  <si>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</si>
  <si>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</si>
  <si>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</si>
  <si>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</si>
  <si>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</si>
  <si>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</si>
  <si>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</si>
  <si>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</si>
  <si>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</si>
  <si>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</si>
  <si>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11310  Garðyrkjudeild</t>
  </si>
  <si>
    <t>11410  Opin svæði</t>
  </si>
  <si>
    <t>11430  Leikvellir</t>
  </si>
  <si>
    <t>11610  Jólaskreytingar</t>
  </si>
  <si>
    <t>11710  Minka- og refaeyðing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</si>
  <si>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</si>
  <si>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</si>
  <si>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</si>
  <si>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</si>
  <si>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</si>
  <si>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</si>
  <si>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</si>
  <si>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</si>
  <si>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</si>
  <si>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</si>
  <si>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</si>
  <si>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</si>
  <si>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</si>
  <si>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</si>
  <si>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28  FJÁRMUNATEKJUR, FJÁRMAGNSGJÖLD</t>
  </si>
  <si>
    <t>28010  Vaxta- og verðbótatekjur af veltufjármunum</t>
  </si>
  <si>
    <t>28020  Tekjur af eignahlutum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</si>
  <si>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</si>
  <si>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</si>
  <si>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</si>
  <si>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</si>
  <si>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</si>
  <si>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</si>
  <si>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</si>
  <si>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</si>
  <si>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</si>
  <si>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</si>
  <si>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</si>
  <si>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</si>
  <si>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</si>
  <si>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</si>
  <si>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</si>
  <si>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</si>
  <si>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</si>
  <si>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</si>
  <si>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</si>
  <si>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</si>
  <si>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</si>
  <si>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</si>
  <si>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</si>
  <si>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</si>
  <si>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</si>
  <si>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</si>
  <si>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</si>
  <si>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</si>
  <si>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</si>
  <si>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</si>
  <si>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</si>
  <si>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</si>
  <si>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</si>
  <si>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</si>
  <si>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</si>
  <si>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</si>
  <si>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</si>
  <si>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</si>
  <si>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</si>
  <si>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</si>
  <si>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</si>
  <si>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</si>
  <si>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</si>
  <si>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</si>
  <si>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</si>
  <si>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</si>
  <si>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</si>
  <si>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</si>
  <si>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</si>
  <si>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</si>
  <si>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</si>
  <si>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</si>
  <si>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</si>
  <si>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</si>
  <si>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</si>
  <si>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</si>
  <si>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</si>
  <si>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</si>
  <si>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</si>
  <si>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</si>
  <si>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</si>
  <si>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</si>
  <si>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</si>
  <si>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</si>
  <si>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</si>
  <si>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</si>
  <si>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</si>
  <si>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</si>
  <si>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</si>
  <si>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</si>
  <si>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Millifærslur</t>
  </si>
  <si>
    <t>Rekstrarniðurstaða A og B-hluta</t>
  </si>
  <si>
    <t>04206  Helgafellsskóli</t>
  </si>
  <si>
    <t>21750  Samstarf sveitafélaga</t>
  </si>
  <si>
    <t>00010  Útsvar</t>
  </si>
  <si>
    <t>00060  Fasteignaskattur</t>
  </si>
  <si>
    <t>11020  Umhverfisdeild</t>
  </si>
  <si>
    <t>02510  Liðveisla og akstur</t>
  </si>
  <si>
    <t>02520  NPA þjónusta</t>
  </si>
  <si>
    <t>02172  Erlendir ríkisborgarar</t>
  </si>
  <si>
    <t>28030  Vaxta og verðbótatekjur innri lána</t>
  </si>
  <si>
    <t>31600  Fjölnotahús</t>
  </si>
  <si>
    <t>35  FASTEIGNAFÉLAGIÐ LÆKJARHLÍÐ</t>
  </si>
  <si>
    <t>Mosfellsbær  -  rekstur janúar til mars 2020</t>
  </si>
  <si>
    <t>Rekstrarniðurstaða A- hluta</t>
  </si>
  <si>
    <t>Rekstrarniðurstaða</t>
  </si>
  <si>
    <t>Fjármagnskostnaður</t>
  </si>
  <si>
    <t>Verðbætur</t>
  </si>
  <si>
    <t>Fjárfesting 2020 í samanburði við áætlun</t>
  </si>
  <si>
    <t>A hluti</t>
  </si>
  <si>
    <t>Framkvæmdir janúar til mars 2020</t>
  </si>
  <si>
    <t>Áætlun ársins með viðaukum</t>
  </si>
  <si>
    <t>Ónotað af áætlun ársins</t>
  </si>
  <si>
    <t>Nýting</t>
  </si>
  <si>
    <t>Fasteignir og önnur mannvirki</t>
  </si>
  <si>
    <t>Helgafellsskóli, stofnkostnaður</t>
  </si>
  <si>
    <t>Helgafellsskóli - færanlegar kennslustofur</t>
  </si>
  <si>
    <t>Íþróttamiðstöðin Varmá, viðbætur</t>
  </si>
  <si>
    <t>Varmárskóli, viðbætur</t>
  </si>
  <si>
    <t>Íþróttamiðstöðin Klettur</t>
  </si>
  <si>
    <t>Leikskólar - aðstaða fyrir 1- 2 ára:</t>
  </si>
  <si>
    <t>Hulduberg</t>
  </si>
  <si>
    <t>Höfðaberg</t>
  </si>
  <si>
    <t>Leirvogstunguskóli</t>
  </si>
  <si>
    <t>Leikskólinn Hlíð</t>
  </si>
  <si>
    <t>Skíðasvæði</t>
  </si>
  <si>
    <t>Hlégarður, endurbætur</t>
  </si>
  <si>
    <t>Varmárvellir</t>
  </si>
  <si>
    <t>Skátaheimili Mosverja</t>
  </si>
  <si>
    <t>Lágafellsskóli</t>
  </si>
  <si>
    <t>Fjölnota íþróttahús, stofnkostnaður</t>
  </si>
  <si>
    <t>Íþróttamiðstöðin Lágafell</t>
  </si>
  <si>
    <t>Brúarland, endurbætur</t>
  </si>
  <si>
    <t>Krikaskóli</t>
  </si>
  <si>
    <t>Ævintýragarður</t>
  </si>
  <si>
    <t>Stikaðar gönguleiðir</t>
  </si>
  <si>
    <t>Þjónustustöð</t>
  </si>
  <si>
    <t>Félagsmiðstöðin Bólið</t>
  </si>
  <si>
    <t>Fasteignir og önnur mannvirki samtals</t>
  </si>
  <si>
    <t>Gatnamannvirki:</t>
  </si>
  <si>
    <t>Gatnaframkvæmdir</t>
  </si>
  <si>
    <t>Samgöngusáttmáli</t>
  </si>
  <si>
    <t>Tekjur af gatnagerðargjöldum</t>
  </si>
  <si>
    <t>Gatnamannvirki samtals</t>
  </si>
  <si>
    <t>Áhöld og tæki:</t>
  </si>
  <si>
    <t>Bifreið</t>
  </si>
  <si>
    <t>Fjárfesting A hluta samtals</t>
  </si>
  <si>
    <t>B hluti</t>
  </si>
  <si>
    <t>Hitaveita</t>
  </si>
  <si>
    <t>Vatnsveita</t>
  </si>
  <si>
    <t>Fráveita</t>
  </si>
  <si>
    <t>Félagslegar íbúðir (kaup)</t>
  </si>
  <si>
    <t>Félagslegar íbúðir (sala)</t>
  </si>
  <si>
    <t>Fjárfesting B hluta samtals</t>
  </si>
  <si>
    <t>Fjárfesting A og B hluta samtals</t>
  </si>
  <si>
    <t>Rekstrarreikningur   A+B</t>
  </si>
  <si>
    <t/>
  </si>
  <si>
    <t>REKSTRARREIKNINGUR - A+B</t>
  </si>
  <si>
    <t xml:space="preserve">  Rekstrartekjur</t>
  </si>
  <si>
    <t xml:space="preserve">   Útsvar og fasteignaskattur</t>
  </si>
  <si>
    <t xml:space="preserve">   Framlög Jöfnunarsjóðs</t>
  </si>
  <si>
    <t xml:space="preserve">   Aðrar tekjur</t>
  </si>
  <si>
    <t xml:space="preserve">  Rekstrartekjur alls</t>
  </si>
  <si>
    <t xml:space="preserve">  Rekstrargjöld</t>
  </si>
  <si>
    <t xml:space="preserve">   Laun og launatengd gjöld</t>
  </si>
  <si>
    <t xml:space="preserve">   Annar rekstrarkostnaður</t>
  </si>
  <si>
    <t xml:space="preserve">   Afskrftir</t>
  </si>
  <si>
    <t xml:space="preserve">  Rekstrargjöld alls</t>
  </si>
  <si>
    <t xml:space="preserve">  Rekstrarniðurstaða án fjármagnsliða</t>
  </si>
  <si>
    <t xml:space="preserve">  Fjármunatekjur og fjármagnsgjöld</t>
  </si>
  <si>
    <t>Rekstrarniðurstaða   A + B</t>
  </si>
  <si>
    <t>janúar - mars 2020</t>
  </si>
  <si>
    <t>Raun</t>
  </si>
  <si>
    <t>Áætlun</t>
  </si>
  <si>
    <t>Mismunur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</si>
</sst>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-;\-* #,##0\ _k_r_-;_-* &quot;-&quot;\ _k_r_-;_-@_-"/>
    <numFmt numFmtId="165" formatCode="#,##0\ _);\(* #,##0\ \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338D"/>
      <name val="Arial"/>
      <family val="2"/>
    </font>
    <font>
      <sz val="8"/>
      <color rgb="FF00338D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b/>
      <sz val="10"/>
      <name val="Calibri++"/>
    </font>
    <font>
      <sz val="10"/>
      <name val="Calibri++"/>
    </font>
    <font>
      <sz val="9"/>
      <name val="Calibri++"/>
    </font>
    <font>
      <b/>
      <sz val="9"/>
      <name val="Calibri++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/>
      <bottom/>
      <diagonal/>
    </border>
    <border>
      <left/>
      <right/>
      <top style="thin">
        <color rgb="FF00338D"/>
      </top>
      <bottom/>
      <diagonal/>
    </border>
    <border>
      <left/>
      <right style="thin">
        <color rgb="FF00338D"/>
      </right>
      <top style="thin">
        <color rgb="FF00338D"/>
      </top>
      <bottom/>
      <diagonal/>
    </border>
    <border>
      <left style="thin">
        <color rgb="FF00338D"/>
      </left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/>
      <diagonal/>
    </border>
    <border>
      <left/>
      <right style="thin">
        <color rgb="FF00338D"/>
      </right>
      <top/>
      <bottom/>
      <diagonal/>
    </border>
    <border>
      <left/>
      <right style="thin">
        <color rgb="FF00338D"/>
      </right>
      <top/>
      <bottom style="thin">
        <color rgb="FF00338D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6" fillId="3" borderId="0" applyNumberFormat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3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5" fillId="0" borderId="0" xfId="0" applyNumberFormat="1" applyFont="1" applyFill="1" applyBorder="1" applyAlignment="1">
      <alignment horizontal="center" wrapText="1"/>
    </xf>
    <xf numFmtId="3" fontId="1" fillId="0" borderId="2" xfId="0" applyNumberFormat="1" applyFont="1" applyBorder="1"/>
    <xf numFmtId="0" fontId="3" fillId="0" borderId="0" xfId="0" applyFont="1" applyBorder="1" applyAlignment="1">
      <alignment horizontal="center" wrapText="1"/>
    </xf>
    <xf numFmtId="0" fontId="7" fillId="3" borderId="0" xfId="2" applyFont="1"/>
    <xf numFmtId="0" fontId="8" fillId="3" borderId="1" xfId="2" applyFont="1" applyBorder="1" applyAlignment="1">
      <alignment horizontal="center" wrapText="1"/>
    </xf>
    <xf numFmtId="0" fontId="8" fillId="3" borderId="1" xfId="2" applyFont="1" applyBorder="1" applyAlignment="1">
      <alignment horizontal="left" wrapText="1"/>
    </xf>
    <xf numFmtId="0" fontId="0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1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left" vertical="center"/>
    </xf>
    <xf numFmtId="165" fontId="13" fillId="5" borderId="0" xfId="3" applyNumberFormat="1" applyFont="1" applyFill="1" applyBorder="1" applyAlignment="1">
      <alignment horizontal="right" vertical="center"/>
    </xf>
    <xf numFmtId="165" fontId="13" fillId="5" borderId="12" xfId="3" applyNumberFormat="1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left" vertical="center"/>
    </xf>
    <xf numFmtId="9" fontId="13" fillId="5" borderId="12" xfId="4" applyFont="1" applyFill="1" applyBorder="1" applyAlignment="1">
      <alignment horizontal="right" vertical="center"/>
    </xf>
    <xf numFmtId="9" fontId="13" fillId="5" borderId="0" xfId="4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165" fontId="13" fillId="5" borderId="5" xfId="3" applyNumberFormat="1" applyFont="1" applyFill="1" applyBorder="1" applyAlignment="1">
      <alignment horizontal="right" vertical="center"/>
    </xf>
    <xf numFmtId="9" fontId="13" fillId="5" borderId="6" xfId="4" applyFont="1" applyFill="1" applyBorder="1" applyAlignment="1">
      <alignment horizontal="right" vertical="center"/>
    </xf>
    <xf numFmtId="165" fontId="13" fillId="5" borderId="3" xfId="3" applyNumberFormat="1" applyFont="1" applyFill="1" applyBorder="1" applyAlignment="1">
      <alignment horizontal="right" vertical="center"/>
    </xf>
    <xf numFmtId="9" fontId="13" fillId="5" borderId="13" xfId="4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165" fontId="12" fillId="5" borderId="5" xfId="3" applyNumberFormat="1" applyFont="1" applyFill="1" applyBorder="1" applyAlignment="1">
      <alignment horizontal="right" vertical="center"/>
    </xf>
    <xf numFmtId="165" fontId="12" fillId="5" borderId="0" xfId="3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12" xfId="0" applyBorder="1"/>
    <xf numFmtId="0" fontId="12" fillId="5" borderId="3" xfId="0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65" fontId="13" fillId="5" borderId="8" xfId="3" applyNumberFormat="1" applyFont="1" applyFill="1" applyBorder="1" applyAlignment="1">
      <alignment horizontal="right" vertical="center"/>
    </xf>
    <xf numFmtId="165" fontId="13" fillId="5" borderId="9" xfId="3" applyNumberFormat="1" applyFont="1" applyFill="1" applyBorder="1" applyAlignment="1">
      <alignment horizontal="right" vertical="center"/>
    </xf>
    <xf numFmtId="165" fontId="13" fillId="0" borderId="0" xfId="3" applyNumberFormat="1" applyFont="1" applyFill="1" applyBorder="1" applyAlignment="1">
      <alignment horizontal="right" vertical="center"/>
    </xf>
    <xf numFmtId="9" fontId="13" fillId="0" borderId="12" xfId="4" applyFont="1" applyFill="1" applyBorder="1" applyAlignment="1">
      <alignment horizontal="right" vertical="center"/>
    </xf>
    <xf numFmtId="9" fontId="13" fillId="0" borderId="0" xfId="4" applyFont="1" applyFill="1" applyBorder="1" applyAlignment="1">
      <alignment horizontal="right" vertic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16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/>
    <xf numFmtId="3" fontId="1" fillId="0" borderId="0" xfId="0" applyNumberFormat="1" applyFont="1" applyFill="1"/>
    <xf numFmtId="0" fontId="18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/>
    <xf numFmtId="0" fontId="19" fillId="0" borderId="14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right" vertical="center" wrapText="1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3" fontId="20" fillId="0" borderId="0" xfId="0" applyNumberFormat="1" applyFont="1" applyFill="1" applyBorder="1" applyAlignment="1">
      <alignment horizontal="right" vertical="center" wrapText="1" readingOrder="1"/>
    </xf>
    <xf numFmtId="3" fontId="21" fillId="0" borderId="0" xfId="0" applyNumberFormat="1" applyFont="1" applyFill="1" applyBorder="1" applyAlignment="1">
      <alignment horizontal="right" vertical="center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9" fillId="0" borderId="0" xfId="0" applyFont="1" applyFill="1" applyBorder="1"/>
    <xf numFmtId="0" fontId="19" fillId="0" borderId="14" xfId="0" applyNumberFormat="1" applyFont="1" applyFill="1" applyBorder="1" applyAlignment="1">
      <alignment vertical="center" wrapText="1" readingOrder="1"/>
    </xf>
    <xf numFmtId="0" fontId="19" fillId="0" borderId="14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center" wrapText="1" readingOrder="1"/>
    </xf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vertical="center" wrapText="1" readingOrder="1"/>
    </xf>
    <xf numFmtId="0" fontId="14" fillId="0" borderId="0" xfId="0" applyFont="1" applyFill="1" applyBorder="1"/>
    <xf numFmtId="0" fontId="19" fillId="0" borderId="0" xfId="0" applyNumberFormat="1" applyFont="1" applyFill="1" applyBorder="1" applyAlignment="1">
      <alignment vertical="center" wrapText="1" readingOrder="1"/>
    </xf>
  </cellXfs>
  <cellStyles count="5">
    <cellStyle name="Accent1" xfId="2" builtinId="29"/>
    <cellStyle name="Comma [0]" xfId="3" builtinId="6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701040</xdr:colOff>
      <xdr:row>0</xdr:row>
      <xdr:rowOff>38100</xdr:rowOff>
    </xdr:from>
    <xdr:to>
      <xdr:col>6</xdr:col>
      <xdr:colOff>1089660</xdr:colOff>
      <xdr:row>0</xdr:row>
      <xdr:rowOff>975360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1020" y="38100"/>
          <a:ext cx="1501140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2"/>
  <sheetViews>
    <sheetView tabSelected="1" zoomScale="90" zoomScaleNormal="90" workbookViewId="0">
      <pane ySplit="3" topLeftCell="A4" activePane="bottomLeft" state="frozen"/>
      <selection activeCell="A5" sqref="A5"/>
      <selection pane="bottomLeft" activeCell="B190" sqref="B190"/>
    </sheetView>
  </sheetViews>
  <sheetFormatPr defaultRowHeight="15" outlineLevelRow="1"/>
  <cols>
    <col min="1" max="1" width="41.140625" customWidth="1"/>
    <col min="2" max="2" width="15.42578125" customWidth="1"/>
    <col min="3" max="8" width="14.42578125" style="3" customWidth="1"/>
    <col min="9" max="10" width="16" style="3" customWidth="1"/>
    <col min="11" max="11" width="13" customWidth="1"/>
    <col min="12" max="12" width="13" style="3" customWidth="1"/>
    <col min="13" max="13" width="9.140625" bestFit="1" customWidth="1"/>
  </cols>
  <sheetData>
    <row r="1" spans="1:13" s="3" customFormat="1" ht="23.25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3" customFormat="1" ht="7.5" customHeight="1"/>
    <row r="3" spans="1:13" s="2" customFormat="1" ht="62.25" customHeight="1">
      <c r="A3" s="16" t="s">
        <v>1</v>
      </c>
      <c r="B3" s="15" t="s">
        <v>2</v>
      </c>
      <c r="C3" s="15" t="s">
        <v>9</v>
      </c>
      <c r="D3" s="15" t="s">
        <v>10</v>
      </c>
      <c r="E3" s="15" t="s">
        <v>11</v>
      </c>
      <c r="F3" s="15" t="s">
        <v>3</v>
      </c>
      <c r="G3" s="15" t="s">
        <v>4</v>
      </c>
      <c r="H3" s="15" t="s">
        <v>5</v>
      </c>
      <c r="I3" s="1" t="s">
        <v>6</v>
      </c>
      <c r="J3" s="1" t="s">
        <v>7</v>
      </c>
      <c r="K3" s="1" t="s">
        <v>0</v>
      </c>
      <c r="L3" s="13"/>
    </row>
    <row r="4" spans="1:13" s="6" customFormat="1" ht="22.5" hidden="1">
      <c r="A4" s="7"/>
      <c r="B4" s="8" t="s">
        <v>12</v>
      </c>
      <c r="C4" s="8" t="s">
        <v>13</v>
      </c>
      <c r="D4" s="8">
        <v>1821</v>
      </c>
      <c r="E4" s="8" t="s">
        <v>14</v>
      </c>
      <c r="F4" s="8" t="s">
        <v>15</v>
      </c>
      <c r="G4" s="9"/>
      <c r="H4" s="9" t="s">
        <v>16</v>
      </c>
      <c r="I4" s="11"/>
      <c r="J4" s="11"/>
      <c r="K4" s="8"/>
      <c r="L4" s="8"/>
    </row>
    <row r="5" spans="1:13" s="4" customFormat="1">
      <c r="A5" s="4" t="s">
        <v>8</v>
      </c>
      <c r="B5" s="5">
        <f>+B7+B12+B40+B64+B75+B94+B96+B101+B110+B119+B129+B142+B147+B190+B196+B197+B203+B212+B213+B217+B127+B186</f>
        <v>-3606205584</v>
      </c>
      <c r="C5" s="5">
        <f>+C7+C12+C40+C64+C75+C94+C96+C101+C110+C119+C129+C142+C147+C190+C196+C197+C203+C212+C213+C217+C127+C186</f>
        <v>1430762415</v>
      </c>
      <c r="D5" s="5">
        <f>+D7+D12+D40+D64+D75+D94+D96+D101+D110+D119+D129+D142+D147+D190+D196+D197+D203+D212+D213+D217+D127+D186</f>
        <v>45000000</v>
      </c>
      <c r="E5" s="5">
        <f>+E7+E12+E40+E64+E75+E94+E96+E101+E110+E119+E129+E142+E147+E190+E196+E197+E203+E212+E213+E217+E127+E186</f>
        <v>2044580312</v>
      </c>
      <c r="F5" s="5">
        <f>+F7+F12+F40+F64+F75+F94+F96+F101+F110+F119+F129+F142+F147+F190+F196+F197+F203+F212+F213+F217+F127+F186</f>
        <v>119166966</v>
      </c>
      <c r="G5" s="5">
        <f>SUM(C5:F5)</f>
        <v>3639509693</v>
      </c>
      <c r="H5" s="5">
        <f>+H7+H12+H40+H64+H75+H94+H96+H101+H110+H119+H129+H142+H147+H190+H196+H197+H203+H212+H213+H217</f>
        <v>116452069</v>
      </c>
      <c r="I5" s="5">
        <f>+I7+I12+I40+I64+I75+I94+I96+I101+I110+I119+I129+I142+I147+I190+I196+I197+I203+I212+I213+I217+I226+I127+I186</f>
        <v>159006181</v>
      </c>
      <c r="J5" s="5">
        <f>+J7+J12+J40+J64+J75+J94+J96+J101+J110+J119+J129+J142+J147+J190+J196+J197+J203+J212+J213+J217+J226+J127+J186</f>
        <v>60425870</v>
      </c>
      <c r="K5" s="5">
        <f>+K7+K12+K40+K64+K75+K94+K96+K101+K110+K119+K129+K142+K147+K190+K196+K197+K203+K212+K213+K217+K226+K127+K186</f>
        <v>98580311</v>
      </c>
      <c r="L5" s="5"/>
      <c r="M5" s="5"/>
    </row>
    <row r="6" spans="1:13">
      <c r="E6"/>
      <c r="F6"/>
      <c r="H6"/>
      <c r="I6"/>
      <c r="J6"/>
      <c r="L6"/>
    </row>
    <row r="7" spans="1:13" s="4" customFormat="1">
      <c r="A7" s="4" t="s">
        <v>17</v>
      </c>
      <c r="B7" s="5">
        <v>-2399366219</v>
      </c>
      <c r="C7" s="4">
        <v>0</v>
      </c>
      <c r="D7" s="4">
        <v>0</v>
      </c>
      <c r="E7" s="4">
        <v>0</v>
      </c>
      <c r="F7" s="4">
        <v>0</v>
      </c>
      <c r="G7" s="5"/>
      <c r="H7" s="4">
        <v>0</v>
      </c>
      <c r="I7" s="5">
        <v>-2399366219</v>
      </c>
      <c r="J7" s="5">
        <v>-2508263455</v>
      </c>
      <c r="K7" s="5">
        <f>+I7-J7</f>
        <v>108897236</v>
      </c>
      <c r="L7" s="5"/>
    </row>
    <row r="8" spans="1:13" hidden="1" outlineLevel="1">
      <c r="A8" t="s">
        <v>221</v>
      </c>
      <c r="B8" s="10">
        <v>-1632117080</v>
      </c>
      <c r="C8" s="3">
        <v>0</v>
      </c>
      <c r="D8" s="3">
        <v>0</v>
      </c>
      <c r="E8">
        <v>0</v>
      </c>
      <c r="F8">
        <v>0</v>
      </c>
      <c r="G8" s="10"/>
      <c r="H8">
        <v>0</v>
      </c>
      <c r="I8" s="10">
        <v>-1632117080</v>
      </c>
      <c r="J8" s="10">
        <v>-1738381244</v>
      </c>
      <c r="K8" s="10">
        <f t="shared" ref="K8:K63" si="0">+I8-J8</f>
        <v>106264164</v>
      </c>
      <c r="L8" s="10"/>
    </row>
    <row r="9" spans="1:13" hidden="1" outlineLevel="1">
      <c r="A9" t="s">
        <v>222</v>
      </c>
      <c r="B9" s="10">
        <v>-288752270</v>
      </c>
      <c r="C9" s="3">
        <v>0</v>
      </c>
      <c r="D9" s="3">
        <v>0</v>
      </c>
      <c r="E9">
        <v>0</v>
      </c>
      <c r="F9">
        <v>0</v>
      </c>
      <c r="G9" s="10"/>
      <c r="H9">
        <v>0</v>
      </c>
      <c r="I9" s="10">
        <v>-288752270</v>
      </c>
      <c r="J9" s="10">
        <v>-288000000</v>
      </c>
      <c r="K9" s="10">
        <f t="shared" si="0"/>
        <v>-752270</v>
      </c>
      <c r="L9" s="10"/>
    </row>
    <row r="10" spans="1:13" hidden="1" outlineLevel="1">
      <c r="A10" t="s">
        <v>18</v>
      </c>
      <c r="B10" s="10">
        <v>-440859016</v>
      </c>
      <c r="C10" s="3">
        <v>0</v>
      </c>
      <c r="D10" s="3">
        <v>0</v>
      </c>
      <c r="E10">
        <v>0</v>
      </c>
      <c r="F10">
        <v>0</v>
      </c>
      <c r="G10" s="10"/>
      <c r="H10">
        <v>0</v>
      </c>
      <c r="I10" s="10">
        <v>-440859016</v>
      </c>
      <c r="J10" s="10">
        <v>-444632210</v>
      </c>
      <c r="K10" s="10">
        <f t="shared" si="0"/>
        <v>3773194</v>
      </c>
      <c r="L10" s="10"/>
    </row>
    <row r="11" spans="1:13" hidden="1" outlineLevel="1">
      <c r="A11" s="17" t="s">
        <v>19</v>
      </c>
      <c r="B11" s="10">
        <v>-37637853</v>
      </c>
      <c r="C11" s="3">
        <v>0</v>
      </c>
      <c r="D11" s="3">
        <v>0</v>
      </c>
      <c r="E11">
        <v>0</v>
      </c>
      <c r="F11">
        <v>0</v>
      </c>
      <c r="G11" s="10"/>
      <c r="H11">
        <v>0</v>
      </c>
      <c r="I11" s="10">
        <v>-37637853</v>
      </c>
      <c r="J11" s="10">
        <v>-37250001</v>
      </c>
      <c r="K11" s="10">
        <f t="shared" si="0"/>
        <v>-387852</v>
      </c>
      <c r="L11" s="10"/>
    </row>
    <row r="12" spans="1:13" s="4" customFormat="1" collapsed="1">
      <c r="A12" s="4" t="s">
        <v>20</v>
      </c>
      <c r="B12" s="5">
        <v>-131726074</v>
      </c>
      <c r="C12" s="5">
        <v>142751190</v>
      </c>
      <c r="D12" s="4">
        <v>0</v>
      </c>
      <c r="E12" s="5">
        <v>447131165</v>
      </c>
      <c r="F12" s="4">
        <v>0</v>
      </c>
      <c r="G12" s="5"/>
      <c r="H12" s="4">
        <v>0</v>
      </c>
      <c r="I12" s="5">
        <v>458156281</v>
      </c>
      <c r="J12" s="5">
        <v>478393122</v>
      </c>
      <c r="K12" s="5">
        <f t="shared" si="0"/>
        <v>-20236841</v>
      </c>
      <c r="L12" s="5"/>
    </row>
    <row r="13" spans="1:13" hidden="1" outlineLevel="1">
      <c r="A13" t="s">
        <v>21</v>
      </c>
      <c r="B13">
        <v>0</v>
      </c>
      <c r="C13" s="10">
        <v>1144382</v>
      </c>
      <c r="D13" s="3">
        <v>0</v>
      </c>
      <c r="E13" s="10">
        <v>17000</v>
      </c>
      <c r="F13">
        <v>0</v>
      </c>
      <c r="G13" s="10">
        <f>SUM(C13:F13)</f>
        <v>1161382</v>
      </c>
      <c r="H13">
        <v>0</v>
      </c>
      <c r="I13" s="10">
        <f>+B13+G13</f>
        <v>1161382</v>
      </c>
      <c r="J13" s="10">
        <v>1165405</v>
      </c>
      <c r="K13" s="10">
        <f t="shared" si="0"/>
        <v>-4023</v>
      </c>
      <c r="L13" s="10"/>
    </row>
    <row r="14" spans="1:13" hidden="1" outlineLevel="1">
      <c r="A14" t="s">
        <v>22</v>
      </c>
      <c r="B14" s="10">
        <v>-1097670</v>
      </c>
      <c r="C14" s="10">
        <v>16291669</v>
      </c>
      <c r="D14" s="3">
        <v>0</v>
      </c>
      <c r="E14" s="10">
        <v>3612007</v>
      </c>
      <c r="F14">
        <v>0</v>
      </c>
      <c r="G14" s="10">
        <f t="shared" ref="G14:G77" si="1">SUM(C14:F14)</f>
        <v>19903676</v>
      </c>
      <c r="H14">
        <v>0</v>
      </c>
      <c r="I14" s="10">
        <v>18806006</v>
      </c>
      <c r="J14" s="10">
        <v>19997500</v>
      </c>
      <c r="K14" s="10">
        <f t="shared" si="0"/>
        <v>-1191494</v>
      </c>
      <c r="L14" s="10"/>
    </row>
    <row r="15" spans="1:13" hidden="1" outlineLevel="1">
      <c r="A15" t="s">
        <v>23</v>
      </c>
      <c r="B15">
        <v>0</v>
      </c>
      <c r="C15" s="3">
        <v>0</v>
      </c>
      <c r="D15" s="3">
        <v>0</v>
      </c>
      <c r="E15" s="10">
        <v>19345436</v>
      </c>
      <c r="F15">
        <v>0</v>
      </c>
      <c r="G15" s="10">
        <f t="shared" si="1"/>
        <v>19345436</v>
      </c>
      <c r="H15">
        <v>0</v>
      </c>
      <c r="I15" s="10">
        <v>19345436</v>
      </c>
      <c r="J15" s="10">
        <v>17465907</v>
      </c>
      <c r="K15" s="10">
        <f t="shared" si="0"/>
        <v>1879529</v>
      </c>
      <c r="L15" s="10"/>
    </row>
    <row r="16" spans="1:13" hidden="1" outlineLevel="1">
      <c r="A16" t="s">
        <v>24</v>
      </c>
      <c r="B16" s="10">
        <v>-49823966</v>
      </c>
      <c r="C16" s="10">
        <v>2430726</v>
      </c>
      <c r="D16" s="3">
        <v>0</v>
      </c>
      <c r="E16" s="10">
        <v>5435097</v>
      </c>
      <c r="F16">
        <v>0</v>
      </c>
      <c r="G16" s="10">
        <f t="shared" si="1"/>
        <v>7865823</v>
      </c>
      <c r="H16">
        <v>0</v>
      </c>
      <c r="I16" s="10">
        <v>-41958143</v>
      </c>
      <c r="J16" s="10">
        <v>-41664665</v>
      </c>
      <c r="K16" s="10">
        <f t="shared" si="0"/>
        <v>-293478</v>
      </c>
      <c r="L16" s="10"/>
    </row>
    <row r="17" spans="1:12" hidden="1" outlineLevel="1">
      <c r="A17" t="s">
        <v>226</v>
      </c>
      <c r="B17" s="10">
        <v>-998882</v>
      </c>
      <c r="C17" s="3">
        <v>0</v>
      </c>
      <c r="D17" s="3">
        <v>0</v>
      </c>
      <c r="E17" s="10">
        <v>447415</v>
      </c>
      <c r="F17">
        <v>0</v>
      </c>
      <c r="G17" s="10">
        <f t="shared" si="1"/>
        <v>447415</v>
      </c>
      <c r="H17">
        <v>0</v>
      </c>
      <c r="I17" s="10">
        <v>-551467</v>
      </c>
      <c r="J17">
        <v>0</v>
      </c>
      <c r="K17" s="10">
        <f t="shared" si="0"/>
        <v>-551467</v>
      </c>
      <c r="L17" s="10"/>
    </row>
    <row r="18" spans="1:12" hidden="1" outlineLevel="1">
      <c r="A18" t="s">
        <v>25</v>
      </c>
      <c r="B18">
        <v>0</v>
      </c>
      <c r="C18" s="3">
        <v>0</v>
      </c>
      <c r="D18" s="3">
        <v>0</v>
      </c>
      <c r="E18" s="10">
        <v>9944929</v>
      </c>
      <c r="F18">
        <v>0</v>
      </c>
      <c r="G18" s="10">
        <f t="shared" si="1"/>
        <v>9944929</v>
      </c>
      <c r="H18">
        <v>0</v>
      </c>
      <c r="I18" s="10">
        <v>9944929</v>
      </c>
      <c r="J18" s="10">
        <v>10290000</v>
      </c>
      <c r="K18" s="10">
        <f t="shared" si="0"/>
        <v>-345071</v>
      </c>
      <c r="L18" s="10"/>
    </row>
    <row r="19" spans="1:12" hidden="1" outlineLevel="1">
      <c r="A19" t="s">
        <v>26</v>
      </c>
      <c r="B19">
        <v>0</v>
      </c>
      <c r="C19" s="3">
        <v>0</v>
      </c>
      <c r="D19" s="3">
        <v>0</v>
      </c>
      <c r="E19" s="10">
        <v>984784</v>
      </c>
      <c r="F19">
        <v>0</v>
      </c>
      <c r="G19" s="10">
        <f t="shared" si="1"/>
        <v>984784</v>
      </c>
      <c r="H19">
        <v>0</v>
      </c>
      <c r="I19" s="10">
        <v>984784</v>
      </c>
      <c r="J19" s="10">
        <v>1395000</v>
      </c>
      <c r="K19" s="10">
        <f t="shared" si="0"/>
        <v>-410216</v>
      </c>
      <c r="L19" s="10"/>
    </row>
    <row r="20" spans="1:12" hidden="1" outlineLevel="1">
      <c r="A20" t="s">
        <v>27</v>
      </c>
      <c r="B20">
        <v>0</v>
      </c>
      <c r="C20" s="3">
        <v>0</v>
      </c>
      <c r="D20" s="3">
        <v>0</v>
      </c>
      <c r="E20" s="10">
        <v>1479294</v>
      </c>
      <c r="F20">
        <v>0</v>
      </c>
      <c r="G20" s="10">
        <f t="shared" si="1"/>
        <v>1479294</v>
      </c>
      <c r="H20">
        <v>0</v>
      </c>
      <c r="I20" s="10">
        <v>1479294</v>
      </c>
      <c r="J20" s="10">
        <v>1912887</v>
      </c>
      <c r="K20" s="10">
        <f t="shared" si="0"/>
        <v>-433593</v>
      </c>
      <c r="L20" s="10"/>
    </row>
    <row r="21" spans="1:12" hidden="1" outlineLevel="1">
      <c r="A21" t="s">
        <v>28</v>
      </c>
      <c r="B21">
        <v>0</v>
      </c>
      <c r="C21" s="10">
        <v>2556778</v>
      </c>
      <c r="D21" s="3">
        <v>0</v>
      </c>
      <c r="E21" s="10">
        <v>2020748</v>
      </c>
      <c r="F21">
        <v>0</v>
      </c>
      <c r="G21" s="10">
        <f t="shared" si="1"/>
        <v>4577526</v>
      </c>
      <c r="H21">
        <v>0</v>
      </c>
      <c r="I21" s="10">
        <v>4577526</v>
      </c>
      <c r="J21" s="10">
        <v>5293419</v>
      </c>
      <c r="K21" s="10">
        <f t="shared" si="0"/>
        <v>-715893</v>
      </c>
      <c r="L21" s="10"/>
    </row>
    <row r="22" spans="1:12" hidden="1" outlineLevel="1">
      <c r="A22" t="s">
        <v>29</v>
      </c>
      <c r="B22">
        <v>0</v>
      </c>
      <c r="C22" s="3">
        <v>0</v>
      </c>
      <c r="D22" s="3">
        <v>0</v>
      </c>
      <c r="E22" s="10">
        <v>1700329</v>
      </c>
      <c r="F22">
        <v>0</v>
      </c>
      <c r="G22" s="10">
        <f t="shared" si="1"/>
        <v>1700329</v>
      </c>
      <c r="H22">
        <v>0</v>
      </c>
      <c r="I22" s="10">
        <v>1700329</v>
      </c>
      <c r="J22" s="10">
        <v>2010000</v>
      </c>
      <c r="K22" s="10">
        <f t="shared" si="0"/>
        <v>-309671</v>
      </c>
      <c r="L22" s="10"/>
    </row>
    <row r="23" spans="1:12" hidden="1" outlineLevel="1">
      <c r="A23" t="s">
        <v>30</v>
      </c>
      <c r="B23" s="10">
        <v>-69806564</v>
      </c>
      <c r="C23" s="3">
        <v>0</v>
      </c>
      <c r="D23" s="3">
        <v>0</v>
      </c>
      <c r="E23" s="10">
        <v>69806564</v>
      </c>
      <c r="F23">
        <v>0</v>
      </c>
      <c r="G23" s="10">
        <f t="shared" si="1"/>
        <v>69806564</v>
      </c>
      <c r="H23">
        <v>0</v>
      </c>
      <c r="I23">
        <v>0</v>
      </c>
      <c r="J23" s="10">
        <v>7500000</v>
      </c>
      <c r="K23" s="10">
        <f t="shared" si="0"/>
        <v>-7500000</v>
      </c>
      <c r="L23" s="10"/>
    </row>
    <row r="24" spans="1:12" hidden="1" outlineLevel="1">
      <c r="A24" t="s">
        <v>31</v>
      </c>
      <c r="B24" s="10">
        <v>-7089040</v>
      </c>
      <c r="C24" s="3">
        <v>0</v>
      </c>
      <c r="D24" s="3">
        <v>0</v>
      </c>
      <c r="E24" s="10">
        <v>33504187</v>
      </c>
      <c r="F24">
        <v>0</v>
      </c>
      <c r="G24" s="10">
        <f t="shared" si="1"/>
        <v>33504187</v>
      </c>
      <c r="H24">
        <v>0</v>
      </c>
      <c r="I24" s="10">
        <v>26415147</v>
      </c>
      <c r="J24" s="10">
        <v>27085076</v>
      </c>
      <c r="K24" s="10">
        <f t="shared" si="0"/>
        <v>-669929</v>
      </c>
      <c r="L24" s="10"/>
    </row>
    <row r="25" spans="1:12" hidden="1" outlineLevel="1">
      <c r="A25" t="s">
        <v>32</v>
      </c>
      <c r="B25" s="10">
        <v>-180054</v>
      </c>
      <c r="C25" s="10">
        <v>3739982</v>
      </c>
      <c r="D25" s="3">
        <v>0</v>
      </c>
      <c r="E25" s="10">
        <v>7339289</v>
      </c>
      <c r="F25">
        <v>0</v>
      </c>
      <c r="G25" s="10">
        <f t="shared" si="1"/>
        <v>11079271</v>
      </c>
      <c r="H25">
        <v>0</v>
      </c>
      <c r="I25" s="10">
        <v>10899217</v>
      </c>
      <c r="J25" s="10">
        <v>12350491</v>
      </c>
      <c r="K25" s="10">
        <f t="shared" si="0"/>
        <v>-1451274</v>
      </c>
      <c r="L25" s="10"/>
    </row>
    <row r="26" spans="1:12" hidden="1" outlineLevel="1">
      <c r="A26" t="s">
        <v>33</v>
      </c>
      <c r="B26">
        <v>0</v>
      </c>
      <c r="C26" s="3">
        <v>0</v>
      </c>
      <c r="D26" s="3">
        <v>0</v>
      </c>
      <c r="E26" s="10">
        <v>10850991</v>
      </c>
      <c r="F26">
        <v>0</v>
      </c>
      <c r="G26" s="10">
        <f t="shared" si="1"/>
        <v>10850991</v>
      </c>
      <c r="H26">
        <v>0</v>
      </c>
      <c r="I26" s="10">
        <v>10850991</v>
      </c>
      <c r="J26" s="10">
        <v>13272000</v>
      </c>
      <c r="K26" s="10">
        <f t="shared" si="0"/>
        <v>-2421009</v>
      </c>
      <c r="L26" s="10"/>
    </row>
    <row r="27" spans="1:12" hidden="1" outlineLevel="1">
      <c r="A27" t="s">
        <v>34</v>
      </c>
      <c r="B27" s="10">
        <v>-798000</v>
      </c>
      <c r="C27" s="10">
        <v>11898328</v>
      </c>
      <c r="D27" s="3">
        <v>0</v>
      </c>
      <c r="E27" s="10">
        <v>190533690</v>
      </c>
      <c r="F27">
        <v>0</v>
      </c>
      <c r="G27" s="10">
        <f t="shared" si="1"/>
        <v>202432018</v>
      </c>
      <c r="H27">
        <v>0</v>
      </c>
      <c r="I27" s="10">
        <v>201634018</v>
      </c>
      <c r="J27" s="10">
        <v>202279921</v>
      </c>
      <c r="K27" s="10">
        <f t="shared" si="0"/>
        <v>-645903</v>
      </c>
      <c r="L27" s="10"/>
    </row>
    <row r="28" spans="1:12" hidden="1" outlineLevel="1">
      <c r="A28" t="s">
        <v>224</v>
      </c>
      <c r="B28">
        <v>0</v>
      </c>
      <c r="C28" s="10">
        <v>10908009</v>
      </c>
      <c r="D28" s="3">
        <v>0</v>
      </c>
      <c r="E28" s="10">
        <v>23090433</v>
      </c>
      <c r="F28">
        <v>0</v>
      </c>
      <c r="G28" s="10">
        <f t="shared" si="1"/>
        <v>33998442</v>
      </c>
      <c r="H28">
        <v>0</v>
      </c>
      <c r="I28" s="10">
        <v>33998442</v>
      </c>
      <c r="J28" s="10">
        <v>36471165</v>
      </c>
      <c r="K28" s="10">
        <f t="shared" si="0"/>
        <v>-2472723</v>
      </c>
      <c r="L28" s="10"/>
    </row>
    <row r="29" spans="1:12" hidden="1" outlineLevel="1">
      <c r="A29" t="s">
        <v>225</v>
      </c>
      <c r="B29">
        <v>0</v>
      </c>
      <c r="C29" s="3">
        <v>0</v>
      </c>
      <c r="D29" s="3">
        <v>0</v>
      </c>
      <c r="E29" s="10">
        <v>26147180</v>
      </c>
      <c r="F29">
        <v>0</v>
      </c>
      <c r="G29" s="10">
        <f t="shared" si="1"/>
        <v>26147180</v>
      </c>
      <c r="H29">
        <v>0</v>
      </c>
      <c r="I29" s="10">
        <v>26147180</v>
      </c>
      <c r="J29" s="10">
        <v>25736700</v>
      </c>
      <c r="K29" s="10">
        <f t="shared" si="0"/>
        <v>410480</v>
      </c>
      <c r="L29" s="10"/>
    </row>
    <row r="30" spans="1:12" hidden="1" outlineLevel="1">
      <c r="A30" t="s">
        <v>35</v>
      </c>
      <c r="B30" s="10">
        <v>-305082</v>
      </c>
      <c r="C30" s="10">
        <v>20346179</v>
      </c>
      <c r="D30" s="3">
        <v>0</v>
      </c>
      <c r="E30" s="10">
        <v>1547627</v>
      </c>
      <c r="F30">
        <v>0</v>
      </c>
      <c r="G30" s="10">
        <f t="shared" si="1"/>
        <v>21893806</v>
      </c>
      <c r="H30">
        <v>0</v>
      </c>
      <c r="I30" s="10">
        <v>21588724</v>
      </c>
      <c r="J30" s="10">
        <v>21709413</v>
      </c>
      <c r="K30" s="10">
        <f t="shared" si="0"/>
        <v>-120689</v>
      </c>
      <c r="L30" s="10"/>
    </row>
    <row r="31" spans="1:12" hidden="1" outlineLevel="1">
      <c r="A31" t="s">
        <v>36</v>
      </c>
      <c r="B31" s="10">
        <v>-434131</v>
      </c>
      <c r="C31" s="10">
        <v>15770271</v>
      </c>
      <c r="D31" s="3">
        <v>0</v>
      </c>
      <c r="E31" s="10">
        <v>2298089</v>
      </c>
      <c r="F31">
        <v>0</v>
      </c>
      <c r="G31" s="10">
        <f t="shared" si="1"/>
        <v>18068360</v>
      </c>
      <c r="H31">
        <v>0</v>
      </c>
      <c r="I31" s="10">
        <v>17634229</v>
      </c>
      <c r="J31" s="10">
        <v>15360905</v>
      </c>
      <c r="K31" s="10">
        <f t="shared" si="0"/>
        <v>2273324</v>
      </c>
      <c r="L31" s="10"/>
    </row>
    <row r="32" spans="1:12" hidden="1" outlineLevel="1">
      <c r="A32" t="s">
        <v>37</v>
      </c>
      <c r="B32" s="10">
        <v>-702735</v>
      </c>
      <c r="C32" s="10">
        <v>27400195</v>
      </c>
      <c r="D32" s="3">
        <v>0</v>
      </c>
      <c r="E32" s="10">
        <v>2378540</v>
      </c>
      <c r="F32">
        <v>0</v>
      </c>
      <c r="G32" s="10">
        <f t="shared" si="1"/>
        <v>29778735</v>
      </c>
      <c r="H32">
        <v>0</v>
      </c>
      <c r="I32" s="10">
        <v>29076000</v>
      </c>
      <c r="J32" s="10">
        <v>31099339</v>
      </c>
      <c r="K32" s="10">
        <f t="shared" si="0"/>
        <v>-2023339</v>
      </c>
      <c r="L32" s="10"/>
    </row>
    <row r="33" spans="1:12" hidden="1" outlineLevel="1">
      <c r="A33" t="s">
        <v>38</v>
      </c>
      <c r="B33">
        <v>0</v>
      </c>
      <c r="C33" s="10">
        <v>14185493</v>
      </c>
      <c r="D33" s="3">
        <v>0</v>
      </c>
      <c r="E33" s="10">
        <v>1223056</v>
      </c>
      <c r="F33">
        <v>0</v>
      </c>
      <c r="G33" s="10">
        <f t="shared" si="1"/>
        <v>15408549</v>
      </c>
      <c r="H33">
        <v>0</v>
      </c>
      <c r="I33" s="10">
        <v>15408549</v>
      </c>
      <c r="J33" s="10">
        <v>15082747</v>
      </c>
      <c r="K33" s="10">
        <f t="shared" si="0"/>
        <v>325802</v>
      </c>
      <c r="L33" s="10"/>
    </row>
    <row r="34" spans="1:12" hidden="1" outlineLevel="1">
      <c r="A34" t="s">
        <v>39</v>
      </c>
      <c r="B34" s="10">
        <v>-489950</v>
      </c>
      <c r="C34" s="10">
        <v>16079178</v>
      </c>
      <c r="D34" s="3">
        <v>0</v>
      </c>
      <c r="E34" s="10">
        <v>1208495</v>
      </c>
      <c r="F34">
        <v>0</v>
      </c>
      <c r="G34" s="10">
        <f t="shared" si="1"/>
        <v>17287673</v>
      </c>
      <c r="H34">
        <v>0</v>
      </c>
      <c r="I34" s="10">
        <v>16797723</v>
      </c>
      <c r="J34" s="10">
        <v>14894949</v>
      </c>
      <c r="K34" s="10">
        <f t="shared" si="0"/>
        <v>1902774</v>
      </c>
      <c r="L34" s="10"/>
    </row>
    <row r="35" spans="1:12" hidden="1" outlineLevel="1">
      <c r="A35" t="s">
        <v>40</v>
      </c>
      <c r="B35">
        <v>0</v>
      </c>
      <c r="C35" s="3">
        <v>0</v>
      </c>
      <c r="D35" s="3">
        <v>0</v>
      </c>
      <c r="E35" s="10">
        <v>6602751</v>
      </c>
      <c r="F35">
        <v>0</v>
      </c>
      <c r="G35" s="10">
        <f t="shared" si="1"/>
        <v>6602751</v>
      </c>
      <c r="H35">
        <v>0</v>
      </c>
      <c r="I35" s="10">
        <v>6602751</v>
      </c>
      <c r="J35" s="10">
        <v>6533700</v>
      </c>
      <c r="K35" s="10">
        <f t="shared" si="0"/>
        <v>69051</v>
      </c>
      <c r="L35" s="10"/>
    </row>
    <row r="36" spans="1:12" hidden="1" outlineLevel="1">
      <c r="A36" t="s">
        <v>41</v>
      </c>
      <c r="B36">
        <v>0</v>
      </c>
      <c r="C36" s="3">
        <v>0</v>
      </c>
      <c r="D36" s="3">
        <v>0</v>
      </c>
      <c r="E36" s="10">
        <v>13942420</v>
      </c>
      <c r="F36">
        <v>0</v>
      </c>
      <c r="G36" s="10">
        <f t="shared" si="1"/>
        <v>13942420</v>
      </c>
      <c r="H36">
        <v>0</v>
      </c>
      <c r="I36" s="10">
        <v>13942420</v>
      </c>
      <c r="J36" s="10">
        <v>17143356</v>
      </c>
      <c r="K36" s="10">
        <f t="shared" si="0"/>
        <v>-3200936</v>
      </c>
      <c r="L36" s="10"/>
    </row>
    <row r="37" spans="1:12" hidden="1" outlineLevel="1">
      <c r="A37" t="s">
        <v>42</v>
      </c>
      <c r="B37">
        <v>0</v>
      </c>
      <c r="C37" s="3">
        <v>0</v>
      </c>
      <c r="D37" s="3">
        <v>0</v>
      </c>
      <c r="E37" s="10">
        <v>9993816</v>
      </c>
      <c r="F37">
        <v>0</v>
      </c>
      <c r="G37" s="10">
        <f t="shared" si="1"/>
        <v>9993816</v>
      </c>
      <c r="H37">
        <v>0</v>
      </c>
      <c r="I37" s="10">
        <v>9993816</v>
      </c>
      <c r="J37" s="10">
        <v>12556488</v>
      </c>
      <c r="K37" s="10">
        <f t="shared" si="0"/>
        <v>-2562672</v>
      </c>
      <c r="L37" s="10"/>
    </row>
    <row r="38" spans="1:12" hidden="1" outlineLevel="1">
      <c r="A38" t="s">
        <v>43</v>
      </c>
      <c r="B38">
        <v>0</v>
      </c>
      <c r="C38" s="3">
        <v>0</v>
      </c>
      <c r="D38" s="3">
        <v>0</v>
      </c>
      <c r="E38" s="10">
        <v>1676998</v>
      </c>
      <c r="F38">
        <v>0</v>
      </c>
      <c r="G38" s="10">
        <f t="shared" si="1"/>
        <v>1676998</v>
      </c>
      <c r="H38">
        <v>0</v>
      </c>
      <c r="I38" s="10">
        <v>1676998</v>
      </c>
      <c r="J38" s="10">
        <v>1451419</v>
      </c>
      <c r="K38" s="10">
        <f t="shared" si="0"/>
        <v>225579</v>
      </c>
      <c r="L38" s="10"/>
    </row>
    <row r="39" spans="1:12" s="4" customFormat="1" collapsed="1">
      <c r="A39" s="4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5">
        <f t="shared" si="1"/>
        <v>0</v>
      </c>
      <c r="H39" s="4">
        <v>0</v>
      </c>
      <c r="I39" s="4">
        <v>0</v>
      </c>
      <c r="J39" s="4">
        <v>0</v>
      </c>
      <c r="K39" s="5">
        <f t="shared" si="0"/>
        <v>0</v>
      </c>
      <c r="L39" s="10"/>
    </row>
    <row r="40" spans="1:12" s="4" customFormat="1">
      <c r="A40" s="4" t="s">
        <v>45</v>
      </c>
      <c r="B40" s="5">
        <v>-152757509</v>
      </c>
      <c r="C40" s="5">
        <v>998898709</v>
      </c>
      <c r="D40" s="4">
        <v>0</v>
      </c>
      <c r="E40" s="5">
        <v>574546895</v>
      </c>
      <c r="F40" s="4">
        <v>0</v>
      </c>
      <c r="G40" s="5">
        <f t="shared" si="1"/>
        <v>1573445604</v>
      </c>
      <c r="H40" s="4">
        <v>0</v>
      </c>
      <c r="I40" s="5">
        <v>1420688095</v>
      </c>
      <c r="J40" s="5">
        <v>1456067045</v>
      </c>
      <c r="K40" s="5">
        <f t="shared" si="0"/>
        <v>-35378950</v>
      </c>
      <c r="L40" s="10"/>
    </row>
    <row r="41" spans="1:12" hidden="1" outlineLevel="1">
      <c r="A41" t="s">
        <v>46</v>
      </c>
      <c r="B41">
        <v>0</v>
      </c>
      <c r="C41" s="10">
        <v>1525901</v>
      </c>
      <c r="D41" s="3">
        <v>0</v>
      </c>
      <c r="E41">
        <v>0</v>
      </c>
      <c r="F41">
        <v>0</v>
      </c>
      <c r="G41" s="10">
        <f t="shared" si="1"/>
        <v>1525901</v>
      </c>
      <c r="H41">
        <v>0</v>
      </c>
      <c r="I41" s="10">
        <v>1525901</v>
      </c>
      <c r="J41" s="10">
        <v>1889263</v>
      </c>
      <c r="K41" s="10">
        <f t="shared" si="0"/>
        <v>-363362</v>
      </c>
      <c r="L41" s="10"/>
    </row>
    <row r="42" spans="1:12" hidden="1" outlineLevel="1">
      <c r="A42" t="s">
        <v>47</v>
      </c>
      <c r="B42" s="10">
        <v>-11746154</v>
      </c>
      <c r="C42" s="10">
        <v>15451559</v>
      </c>
      <c r="D42" s="3">
        <v>0</v>
      </c>
      <c r="E42" s="10">
        <v>7170224</v>
      </c>
      <c r="F42">
        <v>0</v>
      </c>
      <c r="G42" s="10">
        <f t="shared" si="1"/>
        <v>22621783</v>
      </c>
      <c r="H42">
        <v>0</v>
      </c>
      <c r="I42" s="10">
        <v>10875629</v>
      </c>
      <c r="J42" s="10">
        <v>14841911</v>
      </c>
      <c r="K42" s="10">
        <f t="shared" si="0"/>
        <v>-3966282</v>
      </c>
      <c r="L42" s="10"/>
    </row>
    <row r="43" spans="1:12" hidden="1" outlineLevel="1">
      <c r="A43" t="s">
        <v>48</v>
      </c>
      <c r="B43" s="10">
        <v>-6271476</v>
      </c>
      <c r="C43" s="10">
        <v>39658761</v>
      </c>
      <c r="D43" s="3">
        <v>0</v>
      </c>
      <c r="E43" s="10">
        <v>11093000</v>
      </c>
      <c r="F43">
        <v>0</v>
      </c>
      <c r="G43" s="10">
        <f t="shared" si="1"/>
        <v>50751761</v>
      </c>
      <c r="H43">
        <v>0</v>
      </c>
      <c r="I43" s="10">
        <v>44480285</v>
      </c>
      <c r="J43" s="10">
        <v>40974845</v>
      </c>
      <c r="K43" s="10">
        <f t="shared" si="0"/>
        <v>3505440</v>
      </c>
      <c r="L43" s="10"/>
    </row>
    <row r="44" spans="1:12" hidden="1" outlineLevel="1">
      <c r="A44" t="s">
        <v>49</v>
      </c>
      <c r="B44" s="10">
        <v>-6757228</v>
      </c>
      <c r="C44" s="10">
        <v>41677420</v>
      </c>
      <c r="D44" s="3">
        <v>0</v>
      </c>
      <c r="E44" s="10">
        <v>11718995</v>
      </c>
      <c r="F44">
        <v>0</v>
      </c>
      <c r="G44" s="10">
        <f t="shared" si="1"/>
        <v>53396415</v>
      </c>
      <c r="H44">
        <v>0</v>
      </c>
      <c r="I44" s="10">
        <v>46639187</v>
      </c>
      <c r="J44" s="10">
        <v>42979261</v>
      </c>
      <c r="K44" s="10">
        <f t="shared" si="0"/>
        <v>3659926</v>
      </c>
      <c r="L44" s="10"/>
    </row>
    <row r="45" spans="1:12" hidden="1" outlineLevel="1">
      <c r="A45" t="s">
        <v>50</v>
      </c>
      <c r="B45" s="10">
        <v>-6940506</v>
      </c>
      <c r="C45" s="10">
        <v>49308602</v>
      </c>
      <c r="D45" s="3">
        <v>0</v>
      </c>
      <c r="E45" s="10">
        <v>13464476</v>
      </c>
      <c r="F45">
        <v>0</v>
      </c>
      <c r="G45" s="10">
        <f t="shared" si="1"/>
        <v>62773078</v>
      </c>
      <c r="H45">
        <v>0</v>
      </c>
      <c r="I45" s="10">
        <v>55832572</v>
      </c>
      <c r="J45" s="10">
        <v>57603493</v>
      </c>
      <c r="K45" s="10">
        <f t="shared" si="0"/>
        <v>-1770921</v>
      </c>
      <c r="L45" s="10"/>
    </row>
    <row r="46" spans="1:12" hidden="1" outlineLevel="1">
      <c r="A46" t="s">
        <v>51</v>
      </c>
      <c r="B46" s="10">
        <v>-9507149</v>
      </c>
      <c r="C46" s="10">
        <v>58227763</v>
      </c>
      <c r="D46" s="3">
        <v>0</v>
      </c>
      <c r="E46" s="10">
        <v>19610473</v>
      </c>
      <c r="F46">
        <v>0</v>
      </c>
      <c r="G46" s="10">
        <f t="shared" si="1"/>
        <v>77838236</v>
      </c>
      <c r="H46">
        <v>0</v>
      </c>
      <c r="I46" s="10">
        <v>68331087</v>
      </c>
      <c r="J46" s="10">
        <v>68402422</v>
      </c>
      <c r="K46" s="10">
        <f t="shared" si="0"/>
        <v>-71335</v>
      </c>
      <c r="L46" s="10"/>
    </row>
    <row r="47" spans="1:12" hidden="1" outlineLevel="1">
      <c r="A47" t="s">
        <v>52</v>
      </c>
      <c r="B47" s="10">
        <v>-6755447</v>
      </c>
      <c r="C47" s="10">
        <v>34418052</v>
      </c>
      <c r="D47" s="3">
        <v>0</v>
      </c>
      <c r="E47" s="10">
        <v>20086982</v>
      </c>
      <c r="F47">
        <v>0</v>
      </c>
      <c r="G47" s="10">
        <f t="shared" si="1"/>
        <v>54505034</v>
      </c>
      <c r="H47">
        <v>0</v>
      </c>
      <c r="I47" s="10">
        <v>47749587</v>
      </c>
      <c r="J47" s="10">
        <v>63688942</v>
      </c>
      <c r="K47" s="10">
        <f t="shared" si="0"/>
        <v>-15939355</v>
      </c>
      <c r="L47" s="10"/>
    </row>
    <row r="48" spans="1:12" hidden="1" outlineLevel="1">
      <c r="A48" t="s">
        <v>53</v>
      </c>
      <c r="B48">
        <v>0</v>
      </c>
      <c r="C48" s="3">
        <v>0</v>
      </c>
      <c r="D48" s="3">
        <v>0</v>
      </c>
      <c r="E48" s="10">
        <v>234895</v>
      </c>
      <c r="F48">
        <v>0</v>
      </c>
      <c r="G48" s="10">
        <f t="shared" si="1"/>
        <v>234895</v>
      </c>
      <c r="H48">
        <v>0</v>
      </c>
      <c r="I48" s="10">
        <v>234895</v>
      </c>
      <c r="J48" s="10">
        <v>307549</v>
      </c>
      <c r="K48" s="10">
        <f t="shared" si="0"/>
        <v>-72654</v>
      </c>
      <c r="L48" s="10"/>
    </row>
    <row r="49" spans="1:12" hidden="1" outlineLevel="1">
      <c r="A49" t="s">
        <v>54</v>
      </c>
      <c r="B49">
        <v>0</v>
      </c>
      <c r="C49" s="3">
        <v>0</v>
      </c>
      <c r="D49" s="3">
        <v>0</v>
      </c>
      <c r="E49" s="10">
        <v>70184317</v>
      </c>
      <c r="F49">
        <v>0</v>
      </c>
      <c r="G49" s="10">
        <f t="shared" si="1"/>
        <v>70184317</v>
      </c>
      <c r="H49">
        <v>0</v>
      </c>
      <c r="I49" s="10">
        <v>70184317</v>
      </c>
      <c r="J49" s="10">
        <v>56082108</v>
      </c>
      <c r="K49" s="10">
        <f t="shared" si="0"/>
        <v>14102209</v>
      </c>
      <c r="L49" s="10"/>
    </row>
    <row r="50" spans="1:12" hidden="1" outlineLevel="1">
      <c r="A50" t="s">
        <v>55</v>
      </c>
      <c r="B50" s="10">
        <v>-17690734</v>
      </c>
      <c r="C50" s="10">
        <v>277803622</v>
      </c>
      <c r="D50" s="3">
        <v>0</v>
      </c>
      <c r="E50" s="10">
        <v>92992479</v>
      </c>
      <c r="F50">
        <v>0</v>
      </c>
      <c r="G50" s="10">
        <f t="shared" si="1"/>
        <v>370796101</v>
      </c>
      <c r="H50">
        <v>0</v>
      </c>
      <c r="I50" s="10">
        <v>353105367</v>
      </c>
      <c r="J50" s="10">
        <v>349076394</v>
      </c>
      <c r="K50" s="10">
        <f t="shared" si="0"/>
        <v>4028973</v>
      </c>
      <c r="L50" s="10"/>
    </row>
    <row r="51" spans="1:12" hidden="1" outlineLevel="1">
      <c r="A51" t="s">
        <v>56</v>
      </c>
      <c r="B51" s="10">
        <v>-15341637</v>
      </c>
      <c r="C51" s="10">
        <v>91406161</v>
      </c>
      <c r="D51" s="3">
        <v>0</v>
      </c>
      <c r="E51" s="10">
        <v>48691522</v>
      </c>
      <c r="F51">
        <v>0</v>
      </c>
      <c r="G51" s="10">
        <f t="shared" si="1"/>
        <v>140097683</v>
      </c>
      <c r="H51">
        <v>0</v>
      </c>
      <c r="I51" s="10">
        <v>124756046</v>
      </c>
      <c r="J51" s="10">
        <v>123182365</v>
      </c>
      <c r="K51" s="10">
        <f t="shared" si="0"/>
        <v>1573681</v>
      </c>
      <c r="L51" s="10"/>
    </row>
    <row r="52" spans="1:12" hidden="1" outlineLevel="1">
      <c r="A52" t="s">
        <v>57</v>
      </c>
      <c r="B52" s="10">
        <v>-17858047</v>
      </c>
      <c r="C52" s="10">
        <v>169409426</v>
      </c>
      <c r="D52" s="3">
        <v>0</v>
      </c>
      <c r="E52" s="10">
        <v>90808596</v>
      </c>
      <c r="F52">
        <v>0</v>
      </c>
      <c r="G52" s="10">
        <f t="shared" si="1"/>
        <v>260218022</v>
      </c>
      <c r="H52">
        <v>0</v>
      </c>
      <c r="I52" s="10">
        <v>242359975</v>
      </c>
      <c r="J52" s="10">
        <v>257460796</v>
      </c>
      <c r="K52" s="10">
        <f t="shared" si="0"/>
        <v>-15100821</v>
      </c>
      <c r="L52" s="10"/>
    </row>
    <row r="53" spans="1:12" hidden="1" outlineLevel="1">
      <c r="A53" t="s">
        <v>219</v>
      </c>
      <c r="B53" s="10">
        <v>-14363813</v>
      </c>
      <c r="C53" s="10">
        <v>95032389</v>
      </c>
      <c r="D53" s="3">
        <v>0</v>
      </c>
      <c r="E53" s="10">
        <v>77941685</v>
      </c>
      <c r="F53">
        <v>0</v>
      </c>
      <c r="G53" s="10">
        <f t="shared" si="1"/>
        <v>172974074</v>
      </c>
      <c r="H53">
        <v>0</v>
      </c>
      <c r="I53" s="10">
        <v>158610261</v>
      </c>
      <c r="J53" s="10">
        <v>165153159</v>
      </c>
      <c r="K53" s="10">
        <f t="shared" si="0"/>
        <v>-6542898</v>
      </c>
      <c r="L53" s="10"/>
    </row>
    <row r="54" spans="1:12" hidden="1" outlineLevel="1">
      <c r="A54" t="s">
        <v>58</v>
      </c>
      <c r="B54" s="10">
        <v>-9986200</v>
      </c>
      <c r="C54" s="10">
        <v>53839255</v>
      </c>
      <c r="D54" s="3">
        <v>0</v>
      </c>
      <c r="E54" s="10">
        <v>24888584</v>
      </c>
      <c r="F54">
        <v>0</v>
      </c>
      <c r="G54" s="10">
        <f t="shared" si="1"/>
        <v>78727839</v>
      </c>
      <c r="H54">
        <v>0</v>
      </c>
      <c r="I54" s="10">
        <v>68741639</v>
      </c>
      <c r="J54" s="10">
        <v>69158305</v>
      </c>
      <c r="K54" s="10">
        <f t="shared" si="0"/>
        <v>-416666</v>
      </c>
      <c r="L54" s="10"/>
    </row>
    <row r="55" spans="1:12" hidden="1" outlineLevel="1">
      <c r="A55" t="s">
        <v>59</v>
      </c>
      <c r="B55">
        <v>0</v>
      </c>
      <c r="C55" s="3">
        <v>0</v>
      </c>
      <c r="D55" s="3">
        <v>0</v>
      </c>
      <c r="E55" s="10">
        <v>37338858</v>
      </c>
      <c r="F55">
        <v>0</v>
      </c>
      <c r="G55" s="10">
        <f t="shared" si="1"/>
        <v>37338858</v>
      </c>
      <c r="H55">
        <v>0</v>
      </c>
      <c r="I55" s="10">
        <v>37338858</v>
      </c>
      <c r="J55" s="10">
        <v>49064473</v>
      </c>
      <c r="K55" s="10">
        <f t="shared" si="0"/>
        <v>-11725615</v>
      </c>
      <c r="L55" s="10"/>
    </row>
    <row r="56" spans="1:12" hidden="1" outlineLevel="1">
      <c r="A56" t="s">
        <v>60</v>
      </c>
      <c r="B56" s="10">
        <v>-4298777</v>
      </c>
      <c r="C56" s="10">
        <v>8244987</v>
      </c>
      <c r="D56" s="3">
        <v>0</v>
      </c>
      <c r="E56" s="10">
        <v>1981193</v>
      </c>
      <c r="F56">
        <v>0</v>
      </c>
      <c r="G56" s="10">
        <f t="shared" si="1"/>
        <v>10226180</v>
      </c>
      <c r="H56">
        <v>0</v>
      </c>
      <c r="I56" s="10">
        <v>5927403</v>
      </c>
      <c r="J56" s="10">
        <v>5824159</v>
      </c>
      <c r="K56" s="10">
        <f t="shared" si="0"/>
        <v>103244</v>
      </c>
      <c r="L56" s="10"/>
    </row>
    <row r="57" spans="1:12" hidden="1" outlineLevel="1">
      <c r="A57" t="s">
        <v>61</v>
      </c>
      <c r="B57" s="10">
        <v>-8280391</v>
      </c>
      <c r="C57" s="10">
        <v>13117859</v>
      </c>
      <c r="D57" s="3">
        <v>0</v>
      </c>
      <c r="E57" s="10">
        <v>273711</v>
      </c>
      <c r="F57">
        <v>0</v>
      </c>
      <c r="G57" s="10">
        <f t="shared" si="1"/>
        <v>13391570</v>
      </c>
      <c r="H57">
        <v>0</v>
      </c>
      <c r="I57" s="10">
        <v>5111179</v>
      </c>
      <c r="J57" s="10">
        <v>5494438</v>
      </c>
      <c r="K57" s="10">
        <f t="shared" si="0"/>
        <v>-383259</v>
      </c>
      <c r="L57" s="10"/>
    </row>
    <row r="58" spans="1:12" hidden="1" outlineLevel="1">
      <c r="A58" t="s">
        <v>62</v>
      </c>
      <c r="B58">
        <v>0</v>
      </c>
      <c r="C58" s="3">
        <v>0</v>
      </c>
      <c r="D58" s="3">
        <v>0</v>
      </c>
      <c r="E58" s="10">
        <v>1680000</v>
      </c>
      <c r="F58">
        <v>0</v>
      </c>
      <c r="G58" s="10">
        <f t="shared" si="1"/>
        <v>1680000</v>
      </c>
      <c r="H58">
        <v>0</v>
      </c>
      <c r="I58" s="10">
        <v>1680000</v>
      </c>
      <c r="J58" s="10">
        <v>1680000</v>
      </c>
      <c r="K58" s="10">
        <f t="shared" si="0"/>
        <v>0</v>
      </c>
      <c r="L58" s="10"/>
    </row>
    <row r="59" spans="1:12" hidden="1" outlineLevel="1">
      <c r="A59" t="s">
        <v>63</v>
      </c>
      <c r="B59">
        <v>0</v>
      </c>
      <c r="C59" s="3">
        <v>0</v>
      </c>
      <c r="D59" s="3">
        <v>0</v>
      </c>
      <c r="E59" s="10">
        <v>17519543</v>
      </c>
      <c r="F59">
        <v>0</v>
      </c>
      <c r="G59" s="10">
        <f t="shared" si="1"/>
        <v>17519543</v>
      </c>
      <c r="H59">
        <v>0</v>
      </c>
      <c r="I59" s="10">
        <v>17519543</v>
      </c>
      <c r="J59" s="10">
        <v>20050000</v>
      </c>
      <c r="K59" s="10">
        <f t="shared" si="0"/>
        <v>-2530457</v>
      </c>
      <c r="L59" s="10"/>
    </row>
    <row r="60" spans="1:12" hidden="1" outlineLevel="1">
      <c r="A60" t="s">
        <v>64</v>
      </c>
      <c r="B60">
        <v>0</v>
      </c>
      <c r="C60" s="3">
        <v>0</v>
      </c>
      <c r="D60" s="3">
        <v>0</v>
      </c>
      <c r="E60" s="10">
        <v>4128279</v>
      </c>
      <c r="F60">
        <v>0</v>
      </c>
      <c r="G60" s="10">
        <f t="shared" si="1"/>
        <v>4128279</v>
      </c>
      <c r="H60">
        <v>0</v>
      </c>
      <c r="I60" s="10">
        <v>4128279</v>
      </c>
      <c r="J60" s="10">
        <v>4128279</v>
      </c>
      <c r="K60" s="10">
        <f t="shared" si="0"/>
        <v>0</v>
      </c>
      <c r="L60" s="10"/>
    </row>
    <row r="61" spans="1:12" hidden="1" outlineLevel="1">
      <c r="A61" t="s">
        <v>65</v>
      </c>
      <c r="B61">
        <v>0</v>
      </c>
      <c r="C61" s="3">
        <v>0</v>
      </c>
      <c r="D61" s="3">
        <v>0</v>
      </c>
      <c r="E61" s="10">
        <v>8996295</v>
      </c>
      <c r="F61">
        <v>0</v>
      </c>
      <c r="G61" s="10">
        <f t="shared" si="1"/>
        <v>8996295</v>
      </c>
      <c r="H61">
        <v>0</v>
      </c>
      <c r="I61" s="10">
        <v>8996295</v>
      </c>
      <c r="J61" s="10">
        <v>8996295</v>
      </c>
      <c r="K61" s="10">
        <f t="shared" si="0"/>
        <v>0</v>
      </c>
      <c r="L61" s="10"/>
    </row>
    <row r="62" spans="1:12" hidden="1" outlineLevel="1">
      <c r="A62" t="s">
        <v>66</v>
      </c>
      <c r="B62" s="10">
        <v>-16928282</v>
      </c>
      <c r="C62" s="10">
        <v>38707284</v>
      </c>
      <c r="D62" s="3">
        <v>0</v>
      </c>
      <c r="E62" s="10">
        <v>12887330</v>
      </c>
      <c r="F62">
        <v>0</v>
      </c>
      <c r="G62" s="10">
        <f t="shared" si="1"/>
        <v>51594614</v>
      </c>
      <c r="H62">
        <v>0</v>
      </c>
      <c r="I62" s="10">
        <v>34666332</v>
      </c>
      <c r="J62" s="10">
        <v>38089818</v>
      </c>
      <c r="K62" s="10">
        <f t="shared" si="0"/>
        <v>-3423486</v>
      </c>
      <c r="L62" s="10"/>
    </row>
    <row r="63" spans="1:12" hidden="1" outlineLevel="1">
      <c r="A63" t="s">
        <v>67</v>
      </c>
      <c r="B63" s="10">
        <v>-31668</v>
      </c>
      <c r="C63" s="10">
        <v>11069668</v>
      </c>
      <c r="D63" s="3">
        <v>0</v>
      </c>
      <c r="E63" s="10">
        <v>855458</v>
      </c>
      <c r="F63">
        <v>0</v>
      </c>
      <c r="G63" s="10">
        <f t="shared" si="1"/>
        <v>11925126</v>
      </c>
      <c r="H63">
        <v>0</v>
      </c>
      <c r="I63" s="10">
        <v>11893458</v>
      </c>
      <c r="J63" s="10">
        <v>11938770</v>
      </c>
      <c r="K63" s="10">
        <f t="shared" si="0"/>
        <v>-45312</v>
      </c>
      <c r="L63" s="10"/>
    </row>
    <row r="64" spans="1:12" s="4" customFormat="1" collapsed="1">
      <c r="A64" s="4" t="s">
        <v>68</v>
      </c>
      <c r="B64" s="5">
        <v>-6738108</v>
      </c>
      <c r="C64" s="5">
        <v>17218132</v>
      </c>
      <c r="D64" s="4">
        <v>0</v>
      </c>
      <c r="E64" s="5">
        <v>28486729</v>
      </c>
      <c r="F64" s="4">
        <v>0</v>
      </c>
      <c r="G64" s="5">
        <f t="shared" si="1"/>
        <v>45704861</v>
      </c>
      <c r="H64" s="4">
        <v>0</v>
      </c>
      <c r="I64" s="5">
        <v>38966753</v>
      </c>
      <c r="J64" s="5">
        <v>44627755</v>
      </c>
      <c r="K64" s="5">
        <f t="shared" ref="K64:K116" si="2">+I64-J64</f>
        <v>-5661002</v>
      </c>
      <c r="L64" s="10"/>
    </row>
    <row r="65" spans="1:12" hidden="1" outlineLevel="1">
      <c r="A65" t="s">
        <v>69</v>
      </c>
      <c r="B65">
        <v>0</v>
      </c>
      <c r="C65" s="10">
        <v>767144</v>
      </c>
      <c r="D65" s="3">
        <v>0</v>
      </c>
      <c r="E65" s="10">
        <v>98430</v>
      </c>
      <c r="F65">
        <v>0</v>
      </c>
      <c r="G65" s="10">
        <f t="shared" si="1"/>
        <v>865574</v>
      </c>
      <c r="H65">
        <v>0</v>
      </c>
      <c r="I65" s="10">
        <v>865574</v>
      </c>
      <c r="J65" s="10">
        <v>817063</v>
      </c>
      <c r="K65" s="10">
        <f t="shared" si="2"/>
        <v>48511</v>
      </c>
      <c r="L65" s="10"/>
    </row>
    <row r="66" spans="1:12" hidden="1" outlineLevel="1">
      <c r="A66" t="s">
        <v>70</v>
      </c>
      <c r="B66">
        <v>0</v>
      </c>
      <c r="C66" s="3">
        <v>0</v>
      </c>
      <c r="D66" s="3">
        <v>0</v>
      </c>
      <c r="E66">
        <v>0</v>
      </c>
      <c r="F66">
        <v>0</v>
      </c>
      <c r="G66" s="10">
        <f t="shared" si="1"/>
        <v>0</v>
      </c>
      <c r="H66">
        <v>0</v>
      </c>
      <c r="I66">
        <v>0</v>
      </c>
      <c r="J66" s="10">
        <v>160000</v>
      </c>
      <c r="K66" s="10">
        <f t="shared" si="2"/>
        <v>-160000</v>
      </c>
      <c r="L66" s="10"/>
    </row>
    <row r="67" spans="1:12" hidden="1" outlineLevel="1">
      <c r="A67" t="s">
        <v>71</v>
      </c>
      <c r="B67" s="10">
        <v>-463395</v>
      </c>
      <c r="C67" s="10">
        <v>14252881</v>
      </c>
      <c r="D67" s="3">
        <v>0</v>
      </c>
      <c r="E67" s="10">
        <v>13713711</v>
      </c>
      <c r="F67">
        <v>0</v>
      </c>
      <c r="G67" s="10">
        <f t="shared" si="1"/>
        <v>27966592</v>
      </c>
      <c r="H67">
        <v>0</v>
      </c>
      <c r="I67" s="10">
        <v>27503197</v>
      </c>
      <c r="J67" s="10">
        <v>28743871</v>
      </c>
      <c r="K67" s="10">
        <f t="shared" si="2"/>
        <v>-1240674</v>
      </c>
      <c r="L67" s="10"/>
    </row>
    <row r="68" spans="1:12" hidden="1" outlineLevel="1">
      <c r="A68" t="s">
        <v>72</v>
      </c>
      <c r="B68" s="10">
        <v>-2269713</v>
      </c>
      <c r="C68" s="10">
        <v>2198107</v>
      </c>
      <c r="D68" s="3">
        <v>0</v>
      </c>
      <c r="E68" s="10">
        <v>1265100</v>
      </c>
      <c r="F68">
        <v>0</v>
      </c>
      <c r="G68" s="10">
        <f t="shared" si="1"/>
        <v>3463207</v>
      </c>
      <c r="H68">
        <v>0</v>
      </c>
      <c r="I68" s="10">
        <v>1193494</v>
      </c>
      <c r="J68" s="10">
        <v>4107826</v>
      </c>
      <c r="K68" s="10">
        <f t="shared" si="2"/>
        <v>-2914332</v>
      </c>
      <c r="L68" s="10"/>
    </row>
    <row r="69" spans="1:12" hidden="1" outlineLevel="1">
      <c r="A69" t="s">
        <v>73</v>
      </c>
      <c r="B69" s="10">
        <v>-4005000</v>
      </c>
      <c r="C69" s="3">
        <v>0</v>
      </c>
      <c r="D69" s="3">
        <v>0</v>
      </c>
      <c r="E69" s="10">
        <v>300000</v>
      </c>
      <c r="F69">
        <v>0</v>
      </c>
      <c r="G69" s="10">
        <f t="shared" si="1"/>
        <v>300000</v>
      </c>
      <c r="H69">
        <v>0</v>
      </c>
      <c r="I69" s="10">
        <v>-3705000</v>
      </c>
      <c r="J69" s="10">
        <v>-4000000</v>
      </c>
      <c r="K69" s="10">
        <f t="shared" si="2"/>
        <v>295000</v>
      </c>
      <c r="L69" s="10"/>
    </row>
    <row r="70" spans="1:12" hidden="1" outlineLevel="1">
      <c r="A70" t="s">
        <v>74</v>
      </c>
      <c r="B70">
        <v>0</v>
      </c>
      <c r="C70" s="3">
        <v>0</v>
      </c>
      <c r="D70" s="3">
        <v>0</v>
      </c>
      <c r="E70" s="10">
        <v>117532</v>
      </c>
      <c r="F70">
        <v>0</v>
      </c>
      <c r="G70" s="10">
        <f t="shared" si="1"/>
        <v>117532</v>
      </c>
      <c r="H70">
        <v>0</v>
      </c>
      <c r="I70" s="10">
        <v>117532</v>
      </c>
      <c r="J70" s="10">
        <v>337001</v>
      </c>
      <c r="K70" s="10">
        <f t="shared" si="2"/>
        <v>-219469</v>
      </c>
      <c r="L70" s="10"/>
    </row>
    <row r="71" spans="1:12" hidden="1" outlineLevel="1">
      <c r="A71" t="s">
        <v>75</v>
      </c>
      <c r="B71">
        <v>0</v>
      </c>
      <c r="C71" s="3">
        <v>0</v>
      </c>
      <c r="D71" s="3">
        <v>0</v>
      </c>
      <c r="E71" s="10">
        <v>2128405</v>
      </c>
      <c r="F71">
        <v>0</v>
      </c>
      <c r="G71" s="10">
        <f t="shared" si="1"/>
        <v>2128405</v>
      </c>
      <c r="H71">
        <v>0</v>
      </c>
      <c r="I71" s="10">
        <v>2128405</v>
      </c>
      <c r="J71" s="10">
        <v>3766000</v>
      </c>
      <c r="K71" s="10">
        <f t="shared" si="2"/>
        <v>-1637595</v>
      </c>
      <c r="L71" s="10"/>
    </row>
    <row r="72" spans="1:12" hidden="1" outlineLevel="1">
      <c r="A72" t="s">
        <v>76</v>
      </c>
      <c r="B72">
        <v>0</v>
      </c>
      <c r="C72" s="3">
        <v>0</v>
      </c>
      <c r="D72" s="3">
        <v>0</v>
      </c>
      <c r="E72" s="10">
        <v>99897</v>
      </c>
      <c r="F72">
        <v>0</v>
      </c>
      <c r="G72" s="10">
        <f t="shared" si="1"/>
        <v>99897</v>
      </c>
      <c r="H72">
        <v>0</v>
      </c>
      <c r="I72" s="10">
        <v>99897</v>
      </c>
      <c r="J72">
        <v>0</v>
      </c>
      <c r="K72" s="10">
        <f t="shared" si="2"/>
        <v>99897</v>
      </c>
      <c r="L72" s="10"/>
    </row>
    <row r="73" spans="1:12" hidden="1" outlineLevel="1">
      <c r="A73" t="s">
        <v>77</v>
      </c>
      <c r="B73">
        <v>0</v>
      </c>
      <c r="C73" s="3">
        <v>0</v>
      </c>
      <c r="D73" s="3">
        <v>0</v>
      </c>
      <c r="E73" s="10">
        <v>517660</v>
      </c>
      <c r="F73">
        <v>0</v>
      </c>
      <c r="G73" s="10">
        <f t="shared" si="1"/>
        <v>517660</v>
      </c>
      <c r="H73">
        <v>0</v>
      </c>
      <c r="I73" s="10">
        <v>517660</v>
      </c>
      <c r="J73" s="10">
        <v>450000</v>
      </c>
      <c r="K73" s="10">
        <f t="shared" si="2"/>
        <v>67660</v>
      </c>
      <c r="L73" s="10"/>
    </row>
    <row r="74" spans="1:12" hidden="1" outlineLevel="1">
      <c r="A74" t="s">
        <v>78</v>
      </c>
      <c r="B74">
        <v>0</v>
      </c>
      <c r="C74" s="3">
        <v>0</v>
      </c>
      <c r="D74" s="3">
        <v>0</v>
      </c>
      <c r="E74" s="10">
        <v>10245994</v>
      </c>
      <c r="F74">
        <v>0</v>
      </c>
      <c r="G74" s="10">
        <f t="shared" si="1"/>
        <v>10245994</v>
      </c>
      <c r="H74">
        <v>0</v>
      </c>
      <c r="I74" s="10">
        <v>10245994</v>
      </c>
      <c r="J74" s="10">
        <v>10245994</v>
      </c>
      <c r="K74" s="10">
        <f t="shared" si="2"/>
        <v>0</v>
      </c>
      <c r="L74" s="10"/>
    </row>
    <row r="75" spans="1:12" s="4" customFormat="1" collapsed="1">
      <c r="A75" s="4" t="s">
        <v>79</v>
      </c>
      <c r="B75" s="5">
        <v>-134676961</v>
      </c>
      <c r="C75" s="5">
        <v>107304136</v>
      </c>
      <c r="D75" s="4">
        <v>0</v>
      </c>
      <c r="E75" s="5">
        <v>340758892</v>
      </c>
      <c r="F75" s="4">
        <v>0</v>
      </c>
      <c r="G75" s="5">
        <f t="shared" si="1"/>
        <v>448063028</v>
      </c>
      <c r="H75" s="4">
        <v>0</v>
      </c>
      <c r="I75" s="5">
        <v>313386067</v>
      </c>
      <c r="J75" s="5">
        <v>288371499</v>
      </c>
      <c r="K75" s="5">
        <f t="shared" si="2"/>
        <v>25014568</v>
      </c>
      <c r="L75" s="10"/>
    </row>
    <row r="76" spans="1:12" hidden="1" outlineLevel="1">
      <c r="A76" t="s">
        <v>80</v>
      </c>
      <c r="B76">
        <v>0</v>
      </c>
      <c r="C76" s="10">
        <v>741826</v>
      </c>
      <c r="D76" s="3">
        <v>0</v>
      </c>
      <c r="E76" s="10">
        <v>1255018</v>
      </c>
      <c r="F76">
        <v>0</v>
      </c>
      <c r="G76" s="10">
        <f t="shared" si="1"/>
        <v>1996844</v>
      </c>
      <c r="H76">
        <v>0</v>
      </c>
      <c r="I76" s="10">
        <v>1996844</v>
      </c>
      <c r="J76" s="10">
        <v>2831179</v>
      </c>
      <c r="K76" s="10">
        <f t="shared" si="2"/>
        <v>-834335</v>
      </c>
      <c r="L76" s="10"/>
    </row>
    <row r="77" spans="1:12" hidden="1" outlineLevel="1">
      <c r="A77" t="s">
        <v>81</v>
      </c>
      <c r="B77" s="10">
        <v>-7786080</v>
      </c>
      <c r="C77" s="10">
        <v>12009520</v>
      </c>
      <c r="D77" s="3">
        <v>0</v>
      </c>
      <c r="E77" s="10">
        <v>4803646</v>
      </c>
      <c r="F77">
        <v>0</v>
      </c>
      <c r="G77" s="10">
        <f t="shared" si="1"/>
        <v>16813166</v>
      </c>
      <c r="H77">
        <v>0</v>
      </c>
      <c r="I77" s="10">
        <v>9027086</v>
      </c>
      <c r="J77" s="10">
        <v>8861639</v>
      </c>
      <c r="K77" s="10">
        <f t="shared" si="2"/>
        <v>165447</v>
      </c>
      <c r="L77" s="10"/>
    </row>
    <row r="78" spans="1:12" hidden="1" outlineLevel="1">
      <c r="A78" t="s">
        <v>82</v>
      </c>
      <c r="B78">
        <v>0</v>
      </c>
      <c r="C78" s="10">
        <v>84946</v>
      </c>
      <c r="D78" s="3">
        <v>0</v>
      </c>
      <c r="E78" s="10">
        <v>6485745</v>
      </c>
      <c r="F78">
        <v>0</v>
      </c>
      <c r="G78" s="10">
        <f t="shared" ref="G78:G141" si="3">SUM(C78:F78)</f>
        <v>6570691</v>
      </c>
      <c r="H78">
        <v>0</v>
      </c>
      <c r="I78" s="10">
        <v>6570691</v>
      </c>
      <c r="J78" s="10">
        <v>534000</v>
      </c>
      <c r="K78" s="10">
        <f t="shared" si="2"/>
        <v>6036691</v>
      </c>
      <c r="L78" s="10"/>
    </row>
    <row r="79" spans="1:12" hidden="1" outlineLevel="1">
      <c r="A79" t="s">
        <v>83</v>
      </c>
      <c r="B79">
        <v>0</v>
      </c>
      <c r="C79" s="3">
        <v>0</v>
      </c>
      <c r="D79" s="3">
        <v>0</v>
      </c>
      <c r="E79" s="10">
        <v>423546</v>
      </c>
      <c r="F79">
        <v>0</v>
      </c>
      <c r="G79" s="10">
        <f t="shared" si="3"/>
        <v>423546</v>
      </c>
      <c r="H79">
        <v>0</v>
      </c>
      <c r="I79" s="10">
        <v>423546</v>
      </c>
      <c r="J79" s="10">
        <v>423546</v>
      </c>
      <c r="K79" s="10">
        <f t="shared" si="2"/>
        <v>0</v>
      </c>
      <c r="L79" s="10"/>
    </row>
    <row r="80" spans="1:12" hidden="1" outlineLevel="1">
      <c r="A80" t="s">
        <v>84</v>
      </c>
      <c r="B80">
        <v>0</v>
      </c>
      <c r="C80" s="10">
        <v>245576</v>
      </c>
      <c r="D80" s="3">
        <v>0</v>
      </c>
      <c r="E80" s="10">
        <v>24800</v>
      </c>
      <c r="F80">
        <v>0</v>
      </c>
      <c r="G80" s="10">
        <f t="shared" si="3"/>
        <v>270376</v>
      </c>
      <c r="H80">
        <v>0</v>
      </c>
      <c r="I80" s="10">
        <v>270376</v>
      </c>
      <c r="J80">
        <v>0</v>
      </c>
      <c r="K80" s="10">
        <f t="shared" si="2"/>
        <v>270376</v>
      </c>
      <c r="L80" s="10"/>
    </row>
    <row r="81" spans="1:12" hidden="1" outlineLevel="1">
      <c r="A81" t="s">
        <v>85</v>
      </c>
      <c r="B81">
        <v>0</v>
      </c>
      <c r="C81" s="10">
        <v>14125304</v>
      </c>
      <c r="D81" s="3">
        <v>0</v>
      </c>
      <c r="E81" s="10">
        <v>5833744</v>
      </c>
      <c r="F81">
        <v>0</v>
      </c>
      <c r="G81" s="10">
        <f t="shared" si="3"/>
        <v>19959048</v>
      </c>
      <c r="H81">
        <v>0</v>
      </c>
      <c r="I81" s="10">
        <v>19959048</v>
      </c>
      <c r="J81" s="10">
        <v>16696418</v>
      </c>
      <c r="K81" s="10">
        <f t="shared" si="2"/>
        <v>3262630</v>
      </c>
      <c r="L81" s="10"/>
    </row>
    <row r="82" spans="1:12" hidden="1" outlineLevel="1">
      <c r="A82" t="s">
        <v>86</v>
      </c>
      <c r="B82" s="10">
        <v>-70829961</v>
      </c>
      <c r="C82" s="10">
        <v>36440423</v>
      </c>
      <c r="D82" s="3">
        <v>0</v>
      </c>
      <c r="E82" s="10">
        <v>84608013</v>
      </c>
      <c r="F82">
        <v>0</v>
      </c>
      <c r="G82" s="10">
        <f t="shared" si="3"/>
        <v>121048436</v>
      </c>
      <c r="H82">
        <v>0</v>
      </c>
      <c r="I82" s="10">
        <v>50218475</v>
      </c>
      <c r="J82" s="10">
        <v>41059571</v>
      </c>
      <c r="K82" s="10">
        <f t="shared" si="2"/>
        <v>9158904</v>
      </c>
      <c r="L82" s="10"/>
    </row>
    <row r="83" spans="1:12" hidden="1" outlineLevel="1">
      <c r="A83" t="s">
        <v>87</v>
      </c>
      <c r="B83" s="10">
        <v>-42761920</v>
      </c>
      <c r="C83" s="10">
        <v>43599574</v>
      </c>
      <c r="D83" s="3">
        <v>0</v>
      </c>
      <c r="E83" s="10">
        <v>58194239</v>
      </c>
      <c r="F83">
        <v>0</v>
      </c>
      <c r="G83" s="10">
        <f t="shared" si="3"/>
        <v>101793813</v>
      </c>
      <c r="H83">
        <v>0</v>
      </c>
      <c r="I83" s="10">
        <v>59031893</v>
      </c>
      <c r="J83" s="10">
        <v>48576239</v>
      </c>
      <c r="K83" s="10">
        <f t="shared" si="2"/>
        <v>10455654</v>
      </c>
      <c r="L83" s="10"/>
    </row>
    <row r="84" spans="1:12" hidden="1" outlineLevel="1">
      <c r="A84" t="s">
        <v>88</v>
      </c>
      <c r="B84">
        <v>0</v>
      </c>
      <c r="C84" s="3">
        <v>0</v>
      </c>
      <c r="D84" s="3">
        <v>0</v>
      </c>
      <c r="E84" s="10">
        <v>424305</v>
      </c>
      <c r="F84">
        <v>0</v>
      </c>
      <c r="G84" s="10">
        <f t="shared" si="3"/>
        <v>424305</v>
      </c>
      <c r="H84">
        <v>0</v>
      </c>
      <c r="I84" s="10">
        <v>424305</v>
      </c>
      <c r="J84" s="10">
        <v>424305</v>
      </c>
      <c r="K84" s="10">
        <f t="shared" si="2"/>
        <v>0</v>
      </c>
      <c r="L84" s="10"/>
    </row>
    <row r="85" spans="1:12" hidden="1" outlineLevel="1">
      <c r="A85" t="s">
        <v>89</v>
      </c>
      <c r="B85">
        <v>0</v>
      </c>
      <c r="C85" s="3">
        <v>0</v>
      </c>
      <c r="D85" s="3">
        <v>0</v>
      </c>
      <c r="E85" s="10">
        <v>1094431</v>
      </c>
      <c r="F85">
        <v>0</v>
      </c>
      <c r="G85" s="10">
        <f t="shared" si="3"/>
        <v>1094431</v>
      </c>
      <c r="H85">
        <v>0</v>
      </c>
      <c r="I85" s="10">
        <v>1094431</v>
      </c>
      <c r="J85" s="10">
        <v>1123518</v>
      </c>
      <c r="K85" s="10">
        <f t="shared" si="2"/>
        <v>-29087</v>
      </c>
      <c r="L85" s="10"/>
    </row>
    <row r="86" spans="1:12" hidden="1" outlineLevel="1">
      <c r="A86" t="s">
        <v>90</v>
      </c>
      <c r="B86" s="10">
        <v>-13299000</v>
      </c>
      <c r="C86" s="3">
        <v>0</v>
      </c>
      <c r="D86" s="3">
        <v>0</v>
      </c>
      <c r="E86" s="10">
        <v>13673432</v>
      </c>
      <c r="F86">
        <v>0</v>
      </c>
      <c r="G86" s="10">
        <f t="shared" si="3"/>
        <v>13673432</v>
      </c>
      <c r="H86">
        <v>0</v>
      </c>
      <c r="I86" s="10">
        <v>374432</v>
      </c>
      <c r="J86" s="10">
        <v>1160704</v>
      </c>
      <c r="K86" s="10">
        <f t="shared" si="2"/>
        <v>-786272</v>
      </c>
      <c r="L86" s="10"/>
    </row>
    <row r="87" spans="1:12" hidden="1" outlineLevel="1">
      <c r="A87" t="s">
        <v>91</v>
      </c>
      <c r="B87">
        <v>0</v>
      </c>
      <c r="C87" s="3">
        <v>0</v>
      </c>
      <c r="D87" s="3">
        <v>0</v>
      </c>
      <c r="E87" s="10">
        <v>105027006</v>
      </c>
      <c r="F87">
        <v>0</v>
      </c>
      <c r="G87" s="10">
        <f t="shared" si="3"/>
        <v>105027006</v>
      </c>
      <c r="H87">
        <v>0</v>
      </c>
      <c r="I87" s="10">
        <v>105027006</v>
      </c>
      <c r="J87" s="10">
        <v>103652190</v>
      </c>
      <c r="K87" s="10">
        <f t="shared" si="2"/>
        <v>1374816</v>
      </c>
      <c r="L87" s="10"/>
    </row>
    <row r="88" spans="1:12" hidden="1" outlineLevel="1">
      <c r="A88" t="s">
        <v>92</v>
      </c>
      <c r="B88">
        <v>0</v>
      </c>
      <c r="C88" s="3">
        <v>0</v>
      </c>
      <c r="D88" s="3">
        <v>0</v>
      </c>
      <c r="E88" s="10">
        <v>20998776</v>
      </c>
      <c r="F88">
        <v>0</v>
      </c>
      <c r="G88" s="10">
        <f t="shared" si="3"/>
        <v>20998776</v>
      </c>
      <c r="H88">
        <v>0</v>
      </c>
      <c r="I88" s="10">
        <v>20998776</v>
      </c>
      <c r="J88" s="10">
        <v>22234389</v>
      </c>
      <c r="K88" s="10">
        <f t="shared" si="2"/>
        <v>-1235613</v>
      </c>
      <c r="L88" s="10"/>
    </row>
    <row r="89" spans="1:12" hidden="1" outlineLevel="1">
      <c r="A89" t="s">
        <v>93</v>
      </c>
      <c r="B89">
        <v>0</v>
      </c>
      <c r="C89" s="3">
        <v>0</v>
      </c>
      <c r="D89" s="3">
        <v>0</v>
      </c>
      <c r="E89" s="10">
        <v>5026855</v>
      </c>
      <c r="F89">
        <v>0</v>
      </c>
      <c r="G89" s="10">
        <f t="shared" si="3"/>
        <v>5026855</v>
      </c>
      <c r="H89">
        <v>0</v>
      </c>
      <c r="I89" s="10">
        <v>5026855</v>
      </c>
      <c r="J89" s="10">
        <v>5325322</v>
      </c>
      <c r="K89" s="10">
        <f t="shared" si="2"/>
        <v>-298467</v>
      </c>
      <c r="L89" s="10"/>
    </row>
    <row r="90" spans="1:12" hidden="1" outlineLevel="1">
      <c r="A90" t="s">
        <v>94</v>
      </c>
      <c r="B90">
        <v>0</v>
      </c>
      <c r="C90" s="10">
        <v>56967</v>
      </c>
      <c r="D90" s="3">
        <v>0</v>
      </c>
      <c r="E90" s="10">
        <v>5257764</v>
      </c>
      <c r="F90">
        <v>0</v>
      </c>
      <c r="G90" s="10">
        <f t="shared" si="3"/>
        <v>5314731</v>
      </c>
      <c r="H90">
        <v>0</v>
      </c>
      <c r="I90" s="10">
        <v>5314731</v>
      </c>
      <c r="J90" s="10">
        <v>5719621</v>
      </c>
      <c r="K90" s="10">
        <f t="shared" si="2"/>
        <v>-404890</v>
      </c>
      <c r="L90" s="10"/>
    </row>
    <row r="91" spans="1:12" hidden="1" outlineLevel="1">
      <c r="A91" t="s">
        <v>95</v>
      </c>
      <c r="B91">
        <v>0</v>
      </c>
      <c r="C91" s="3">
        <v>0</v>
      </c>
      <c r="D91" s="3">
        <v>0</v>
      </c>
      <c r="E91" s="10">
        <v>6905027</v>
      </c>
      <c r="F91">
        <v>0</v>
      </c>
      <c r="G91" s="10">
        <f t="shared" si="3"/>
        <v>6905027</v>
      </c>
      <c r="H91">
        <v>0</v>
      </c>
      <c r="I91" s="10">
        <v>6905027</v>
      </c>
      <c r="J91" s="10">
        <v>7207446</v>
      </c>
      <c r="K91" s="10">
        <f t="shared" si="2"/>
        <v>-302419</v>
      </c>
      <c r="L91" s="10"/>
    </row>
    <row r="92" spans="1:12" hidden="1" outlineLevel="1">
      <c r="A92" t="s">
        <v>96</v>
      </c>
      <c r="B92">
        <v>0</v>
      </c>
      <c r="C92" s="3">
        <v>0</v>
      </c>
      <c r="D92" s="3">
        <v>0</v>
      </c>
      <c r="E92" s="10">
        <v>1611171</v>
      </c>
      <c r="F92">
        <v>0</v>
      </c>
      <c r="G92" s="10">
        <f t="shared" si="3"/>
        <v>1611171</v>
      </c>
      <c r="H92">
        <v>0</v>
      </c>
      <c r="I92" s="10">
        <v>1611171</v>
      </c>
      <c r="J92" s="10">
        <v>1652210</v>
      </c>
      <c r="K92" s="10">
        <f t="shared" si="2"/>
        <v>-41039</v>
      </c>
      <c r="L92" s="10"/>
    </row>
    <row r="93" spans="1:12" hidden="1" outlineLevel="1">
      <c r="A93" t="s">
        <v>97</v>
      </c>
      <c r="B93">
        <v>0</v>
      </c>
      <c r="C93" s="3">
        <v>0</v>
      </c>
      <c r="D93" s="3">
        <v>0</v>
      </c>
      <c r="E93" s="10">
        <v>19111374</v>
      </c>
      <c r="F93">
        <v>0</v>
      </c>
      <c r="G93" s="10">
        <f t="shared" si="3"/>
        <v>19111374</v>
      </c>
      <c r="H93">
        <v>0</v>
      </c>
      <c r="I93" s="10">
        <v>19111374</v>
      </c>
      <c r="J93" s="10">
        <v>20889202</v>
      </c>
      <c r="K93" s="10">
        <f t="shared" si="2"/>
        <v>-1777828</v>
      </c>
      <c r="L93" s="10"/>
    </row>
    <row r="94" spans="1:12" s="4" customFormat="1" collapsed="1">
      <c r="A94" s="4" t="s">
        <v>98</v>
      </c>
      <c r="B94" s="4">
        <v>0</v>
      </c>
      <c r="C94" s="4">
        <v>0</v>
      </c>
      <c r="D94" s="4">
        <v>0</v>
      </c>
      <c r="E94" s="5">
        <v>21318549</v>
      </c>
      <c r="F94" s="4">
        <v>0</v>
      </c>
      <c r="G94" s="5">
        <f t="shared" si="3"/>
        <v>21318549</v>
      </c>
      <c r="H94" s="4">
        <v>0</v>
      </c>
      <c r="I94" s="5">
        <v>21318549</v>
      </c>
      <c r="J94" s="5">
        <v>22319061</v>
      </c>
      <c r="K94" s="5">
        <f t="shared" si="2"/>
        <v>-1000512</v>
      </c>
      <c r="L94" s="10"/>
    </row>
    <row r="95" spans="1:12" hidden="1" outlineLevel="1">
      <c r="A95" t="s">
        <v>99</v>
      </c>
      <c r="B95">
        <v>0</v>
      </c>
      <c r="C95" s="3">
        <v>0</v>
      </c>
      <c r="D95" s="3">
        <v>0</v>
      </c>
      <c r="E95" s="10">
        <v>21318549</v>
      </c>
      <c r="F95">
        <v>0</v>
      </c>
      <c r="G95" s="10">
        <f t="shared" si="3"/>
        <v>21318549</v>
      </c>
      <c r="H95">
        <v>0</v>
      </c>
      <c r="I95" s="10">
        <v>21318549</v>
      </c>
      <c r="J95" s="10">
        <v>22319061</v>
      </c>
      <c r="K95" s="10">
        <f t="shared" si="2"/>
        <v>-1000512</v>
      </c>
      <c r="L95" s="10"/>
    </row>
    <row r="96" spans="1:12" s="4" customFormat="1" collapsed="1">
      <c r="A96" s="4" t="s">
        <v>100</v>
      </c>
      <c r="B96" s="5">
        <v>-31122590</v>
      </c>
      <c r="C96" s="4">
        <v>0</v>
      </c>
      <c r="D96" s="4">
        <v>0</v>
      </c>
      <c r="E96" s="5">
        <v>45636914</v>
      </c>
      <c r="F96" s="4">
        <v>0</v>
      </c>
      <c r="G96" s="5">
        <f t="shared" si="3"/>
        <v>45636914</v>
      </c>
      <c r="H96" s="4">
        <v>0</v>
      </c>
      <c r="I96" s="5">
        <v>14514324</v>
      </c>
      <c r="J96" s="5">
        <v>13094486</v>
      </c>
      <c r="K96" s="5">
        <f t="shared" si="2"/>
        <v>1419838</v>
      </c>
      <c r="L96" s="10"/>
    </row>
    <row r="97" spans="1:12" hidden="1" outlineLevel="1">
      <c r="A97" t="s">
        <v>101</v>
      </c>
      <c r="B97" s="10">
        <v>-30961690</v>
      </c>
      <c r="C97" s="3">
        <v>0</v>
      </c>
      <c r="D97" s="3">
        <v>0</v>
      </c>
      <c r="E97" s="10">
        <v>15194420</v>
      </c>
      <c r="F97">
        <v>0</v>
      </c>
      <c r="G97" s="10">
        <f t="shared" si="3"/>
        <v>15194420</v>
      </c>
      <c r="H97">
        <v>0</v>
      </c>
      <c r="I97" s="10">
        <v>-15767270</v>
      </c>
      <c r="J97" s="10">
        <v>-15191000</v>
      </c>
      <c r="K97" s="10">
        <f t="shared" si="2"/>
        <v>-576270</v>
      </c>
      <c r="L97" s="10"/>
    </row>
    <row r="98" spans="1:12" hidden="1" outlineLevel="1">
      <c r="A98" t="s">
        <v>102</v>
      </c>
      <c r="B98">
        <v>0</v>
      </c>
      <c r="C98" s="3">
        <v>0</v>
      </c>
      <c r="D98" s="3">
        <v>0</v>
      </c>
      <c r="E98" s="10">
        <v>27639667</v>
      </c>
      <c r="F98">
        <v>0</v>
      </c>
      <c r="G98" s="10">
        <f t="shared" si="3"/>
        <v>27639667</v>
      </c>
      <c r="H98">
        <v>0</v>
      </c>
      <c r="I98" s="10">
        <v>27639667</v>
      </c>
      <c r="J98" s="10">
        <v>26278036</v>
      </c>
      <c r="K98" s="10">
        <f t="shared" si="2"/>
        <v>1361631</v>
      </c>
      <c r="L98" s="10"/>
    </row>
    <row r="99" spans="1:12" hidden="1" outlineLevel="1">
      <c r="A99" t="s">
        <v>103</v>
      </c>
      <c r="B99">
        <v>0</v>
      </c>
      <c r="C99" s="3">
        <v>0</v>
      </c>
      <c r="D99" s="3">
        <v>0</v>
      </c>
      <c r="E99" s="10">
        <v>275454</v>
      </c>
      <c r="F99">
        <v>0</v>
      </c>
      <c r="G99" s="10">
        <f t="shared" si="3"/>
        <v>275454</v>
      </c>
      <c r="H99">
        <v>0</v>
      </c>
      <c r="I99" s="10">
        <v>275454</v>
      </c>
      <c r="J99" s="10">
        <v>300000</v>
      </c>
      <c r="K99" s="10">
        <f t="shared" si="2"/>
        <v>-24546</v>
      </c>
      <c r="L99" s="10"/>
    </row>
    <row r="100" spans="1:12" hidden="1" outlineLevel="1">
      <c r="A100" t="s">
        <v>104</v>
      </c>
      <c r="B100" s="10">
        <v>-160900</v>
      </c>
      <c r="C100" s="3">
        <v>0</v>
      </c>
      <c r="D100" s="3">
        <v>0</v>
      </c>
      <c r="E100" s="10">
        <v>2527373</v>
      </c>
      <c r="F100">
        <v>0</v>
      </c>
      <c r="G100" s="10">
        <f t="shared" si="3"/>
        <v>2527373</v>
      </c>
      <c r="H100">
        <v>0</v>
      </c>
      <c r="I100" s="10">
        <v>2366473</v>
      </c>
      <c r="J100" s="10">
        <v>1707450</v>
      </c>
      <c r="K100" s="10">
        <f t="shared" si="2"/>
        <v>659023</v>
      </c>
      <c r="L100" s="10"/>
    </row>
    <row r="101" spans="1:12" s="4" customFormat="1" collapsed="1">
      <c r="A101" s="4" t="s">
        <v>105</v>
      </c>
      <c r="B101" s="5">
        <v>-30874610</v>
      </c>
      <c r="C101" s="5">
        <v>24335116</v>
      </c>
      <c r="D101" s="4">
        <v>0</v>
      </c>
      <c r="E101" s="5">
        <v>13984523</v>
      </c>
      <c r="F101" s="4">
        <v>0</v>
      </c>
      <c r="G101" s="5">
        <f t="shared" si="3"/>
        <v>38319639</v>
      </c>
      <c r="H101" s="4">
        <v>0</v>
      </c>
      <c r="I101" s="5">
        <v>7445029</v>
      </c>
      <c r="J101" s="5">
        <v>11055566</v>
      </c>
      <c r="K101" s="5">
        <f t="shared" si="2"/>
        <v>-3610537</v>
      </c>
      <c r="L101" s="10"/>
    </row>
    <row r="102" spans="1:12" hidden="1" outlineLevel="1">
      <c r="A102" t="s">
        <v>106</v>
      </c>
      <c r="B102">
        <v>0</v>
      </c>
      <c r="C102" s="10">
        <v>1969769</v>
      </c>
      <c r="D102" s="3">
        <v>0</v>
      </c>
      <c r="E102">
        <v>0</v>
      </c>
      <c r="F102">
        <v>0</v>
      </c>
      <c r="G102" s="10">
        <f t="shared" si="3"/>
        <v>1969769</v>
      </c>
      <c r="H102">
        <v>0</v>
      </c>
      <c r="I102" s="10">
        <v>1969769</v>
      </c>
      <c r="J102" s="10">
        <v>2477729</v>
      </c>
      <c r="K102" s="10">
        <f t="shared" si="2"/>
        <v>-507960</v>
      </c>
      <c r="L102" s="10"/>
    </row>
    <row r="103" spans="1:12" hidden="1" outlineLevel="1">
      <c r="A103" t="s">
        <v>107</v>
      </c>
      <c r="B103" s="10">
        <v>-9112499</v>
      </c>
      <c r="C103" s="10">
        <v>11242056</v>
      </c>
      <c r="D103" s="3">
        <v>0</v>
      </c>
      <c r="E103" s="10">
        <v>3425890</v>
      </c>
      <c r="F103">
        <v>0</v>
      </c>
      <c r="G103" s="10">
        <f t="shared" si="3"/>
        <v>14667946</v>
      </c>
      <c r="H103">
        <v>0</v>
      </c>
      <c r="I103" s="10">
        <v>5555447</v>
      </c>
      <c r="J103" s="10">
        <v>5324283</v>
      </c>
      <c r="K103" s="10">
        <f t="shared" si="2"/>
        <v>231164</v>
      </c>
      <c r="L103" s="10"/>
    </row>
    <row r="104" spans="1:12" hidden="1" outlineLevel="1">
      <c r="A104" t="s">
        <v>108</v>
      </c>
      <c r="B104" s="10">
        <v>-650001</v>
      </c>
      <c r="C104" s="3">
        <v>0</v>
      </c>
      <c r="D104" s="3">
        <v>0</v>
      </c>
      <c r="E104" s="10">
        <v>636277</v>
      </c>
      <c r="F104">
        <v>0</v>
      </c>
      <c r="G104" s="10">
        <f t="shared" si="3"/>
        <v>636277</v>
      </c>
      <c r="H104">
        <v>0</v>
      </c>
      <c r="I104" s="10">
        <v>-13724</v>
      </c>
      <c r="J104" s="10">
        <v>461999</v>
      </c>
      <c r="K104" s="10">
        <f t="shared" si="2"/>
        <v>-475723</v>
      </c>
      <c r="L104" s="10"/>
    </row>
    <row r="105" spans="1:12" hidden="1" outlineLevel="1">
      <c r="A105" t="s">
        <v>109</v>
      </c>
      <c r="B105" s="10">
        <v>-19668564</v>
      </c>
      <c r="C105" s="3">
        <v>0</v>
      </c>
      <c r="D105" s="3">
        <v>0</v>
      </c>
      <c r="E105" s="10">
        <v>376630</v>
      </c>
      <c r="F105">
        <v>0</v>
      </c>
      <c r="G105" s="10">
        <f t="shared" si="3"/>
        <v>376630</v>
      </c>
      <c r="H105">
        <v>0</v>
      </c>
      <c r="I105" s="10">
        <v>-19291934</v>
      </c>
      <c r="J105" s="10">
        <v>-10735000</v>
      </c>
      <c r="K105" s="10">
        <f t="shared" si="2"/>
        <v>-8556934</v>
      </c>
      <c r="L105" s="10"/>
    </row>
    <row r="106" spans="1:12" hidden="1" outlineLevel="1">
      <c r="A106" t="s">
        <v>110</v>
      </c>
      <c r="B106" s="10">
        <v>-145200</v>
      </c>
      <c r="C106" s="3">
        <v>0</v>
      </c>
      <c r="D106" s="3">
        <v>0</v>
      </c>
      <c r="E106" s="10">
        <v>1901913</v>
      </c>
      <c r="F106">
        <v>0</v>
      </c>
      <c r="G106" s="10">
        <f t="shared" si="3"/>
        <v>1901913</v>
      </c>
      <c r="H106">
        <v>0</v>
      </c>
      <c r="I106" s="10">
        <v>1756713</v>
      </c>
      <c r="J106" s="10">
        <v>2655000</v>
      </c>
      <c r="K106" s="10">
        <f t="shared" si="2"/>
        <v>-898287</v>
      </c>
      <c r="L106" s="10"/>
    </row>
    <row r="107" spans="1:12" hidden="1" outlineLevel="1">
      <c r="A107" t="s">
        <v>111</v>
      </c>
      <c r="B107">
        <v>0</v>
      </c>
      <c r="C107" s="3">
        <v>0</v>
      </c>
      <c r="D107" s="3">
        <v>0</v>
      </c>
      <c r="E107" s="10">
        <v>284944</v>
      </c>
      <c r="F107">
        <v>0</v>
      </c>
      <c r="G107" s="10">
        <f t="shared" si="3"/>
        <v>284944</v>
      </c>
      <c r="H107">
        <v>0</v>
      </c>
      <c r="I107" s="10">
        <v>284944</v>
      </c>
      <c r="J107" s="10">
        <v>895000</v>
      </c>
      <c r="K107" s="10">
        <f t="shared" si="2"/>
        <v>-610056</v>
      </c>
      <c r="L107" s="10"/>
    </row>
    <row r="108" spans="1:12" hidden="1" outlineLevel="1">
      <c r="A108" t="s">
        <v>112</v>
      </c>
      <c r="B108" s="10">
        <v>-1298346</v>
      </c>
      <c r="C108" s="10">
        <v>11123291</v>
      </c>
      <c r="D108" s="3">
        <v>0</v>
      </c>
      <c r="E108" s="10">
        <v>3972319</v>
      </c>
      <c r="F108">
        <v>0</v>
      </c>
      <c r="G108" s="10">
        <f t="shared" si="3"/>
        <v>15095610</v>
      </c>
      <c r="H108">
        <v>0</v>
      </c>
      <c r="I108" s="10">
        <v>13797264</v>
      </c>
      <c r="J108" s="10">
        <v>6590005</v>
      </c>
      <c r="K108" s="10">
        <f t="shared" si="2"/>
        <v>7207259</v>
      </c>
      <c r="L108" s="10"/>
    </row>
    <row r="109" spans="1:12" hidden="1" outlineLevel="1">
      <c r="A109" t="s">
        <v>113</v>
      </c>
      <c r="B109">
        <v>0</v>
      </c>
      <c r="C109" s="3">
        <v>0</v>
      </c>
      <c r="D109" s="3">
        <v>0</v>
      </c>
      <c r="E109" s="10">
        <v>3386550</v>
      </c>
      <c r="F109">
        <v>0</v>
      </c>
      <c r="G109" s="10">
        <f t="shared" si="3"/>
        <v>3386550</v>
      </c>
      <c r="H109">
        <v>0</v>
      </c>
      <c r="I109" s="10">
        <v>3386550</v>
      </c>
      <c r="J109" s="10">
        <v>3386550</v>
      </c>
      <c r="K109" s="10">
        <f t="shared" si="2"/>
        <v>0</v>
      </c>
      <c r="L109" s="10"/>
    </row>
    <row r="110" spans="1:12" s="4" customFormat="1" collapsed="1">
      <c r="A110" s="4" t="s">
        <v>114</v>
      </c>
      <c r="B110" s="4">
        <v>0</v>
      </c>
      <c r="C110" s="4">
        <v>0</v>
      </c>
      <c r="D110" s="4">
        <v>0</v>
      </c>
      <c r="E110" s="5">
        <v>122439129</v>
      </c>
      <c r="F110" s="4">
        <v>0</v>
      </c>
      <c r="G110" s="5">
        <f t="shared" si="3"/>
        <v>122439129</v>
      </c>
      <c r="H110" s="4">
        <v>0</v>
      </c>
      <c r="I110" s="5">
        <v>122439129</v>
      </c>
      <c r="J110" s="5">
        <v>110137785</v>
      </c>
      <c r="K110" s="5">
        <f t="shared" si="2"/>
        <v>12301344</v>
      </c>
      <c r="L110" s="10"/>
    </row>
    <row r="111" spans="1:12" hidden="1" outlineLevel="1">
      <c r="A111" t="s">
        <v>115</v>
      </c>
      <c r="B111">
        <v>0</v>
      </c>
      <c r="C111" s="3">
        <v>0</v>
      </c>
      <c r="D111" s="3">
        <v>0</v>
      </c>
      <c r="E111" s="10">
        <v>4148178</v>
      </c>
      <c r="F111">
        <v>0</v>
      </c>
      <c r="G111" s="10">
        <f t="shared" si="3"/>
        <v>4148178</v>
      </c>
      <c r="H111">
        <v>0</v>
      </c>
      <c r="I111" s="10">
        <v>4148178</v>
      </c>
      <c r="J111" s="10">
        <v>3400000</v>
      </c>
      <c r="K111" s="10">
        <f t="shared" si="2"/>
        <v>748178</v>
      </c>
      <c r="L111" s="10"/>
    </row>
    <row r="112" spans="1:12" hidden="1" outlineLevel="1">
      <c r="A112" t="s">
        <v>116</v>
      </c>
      <c r="B112">
        <v>0</v>
      </c>
      <c r="C112" s="3">
        <v>0</v>
      </c>
      <c r="D112" s="3">
        <v>0</v>
      </c>
      <c r="E112" s="10">
        <v>15319629</v>
      </c>
      <c r="F112">
        <v>0</v>
      </c>
      <c r="G112" s="10">
        <f t="shared" si="3"/>
        <v>15319629</v>
      </c>
      <c r="H112">
        <v>0</v>
      </c>
      <c r="I112" s="10">
        <v>15319629</v>
      </c>
      <c r="J112" s="10">
        <v>15319629</v>
      </c>
      <c r="K112" s="10">
        <f t="shared" si="2"/>
        <v>0</v>
      </c>
      <c r="L112" s="10"/>
    </row>
    <row r="113" spans="1:12" hidden="1" outlineLevel="1">
      <c r="A113" t="s">
        <v>117</v>
      </c>
      <c r="B113">
        <v>0</v>
      </c>
      <c r="C113" s="3">
        <v>0</v>
      </c>
      <c r="D113" s="3">
        <v>0</v>
      </c>
      <c r="E113" s="10">
        <v>11542021</v>
      </c>
      <c r="F113">
        <v>0</v>
      </c>
      <c r="G113" s="10">
        <f t="shared" si="3"/>
        <v>11542021</v>
      </c>
      <c r="H113">
        <v>0</v>
      </c>
      <c r="I113" s="10">
        <v>11542021</v>
      </c>
      <c r="J113" s="10">
        <v>11400000</v>
      </c>
      <c r="K113" s="10">
        <f t="shared" si="2"/>
        <v>142021</v>
      </c>
      <c r="L113" s="10"/>
    </row>
    <row r="114" spans="1:12" hidden="1" outlineLevel="1">
      <c r="A114" t="s">
        <v>118</v>
      </c>
      <c r="B114">
        <v>0</v>
      </c>
      <c r="C114" s="3">
        <v>0</v>
      </c>
      <c r="D114" s="3">
        <v>0</v>
      </c>
      <c r="E114">
        <v>0</v>
      </c>
      <c r="F114">
        <v>0</v>
      </c>
      <c r="G114" s="10">
        <f t="shared" si="3"/>
        <v>0</v>
      </c>
      <c r="H114">
        <v>0</v>
      </c>
      <c r="I114">
        <v>0</v>
      </c>
      <c r="J114" s="10">
        <v>200000</v>
      </c>
      <c r="K114" s="10">
        <f t="shared" si="2"/>
        <v>-200000</v>
      </c>
      <c r="L114" s="10"/>
    </row>
    <row r="115" spans="1:12" hidden="1" outlineLevel="1">
      <c r="A115" t="s">
        <v>119</v>
      </c>
      <c r="B115">
        <v>0</v>
      </c>
      <c r="C115" s="3">
        <v>0</v>
      </c>
      <c r="D115" s="3">
        <v>0</v>
      </c>
      <c r="E115" s="10">
        <v>530963</v>
      </c>
      <c r="F115">
        <v>0</v>
      </c>
      <c r="G115" s="10">
        <f t="shared" si="3"/>
        <v>530963</v>
      </c>
      <c r="H115">
        <v>0</v>
      </c>
      <c r="I115" s="10">
        <v>530963</v>
      </c>
      <c r="J115" s="10">
        <v>650001</v>
      </c>
      <c r="K115" s="10">
        <f t="shared" si="2"/>
        <v>-119038</v>
      </c>
      <c r="L115" s="10"/>
    </row>
    <row r="116" spans="1:12" hidden="1" outlineLevel="1">
      <c r="A116" t="s">
        <v>120</v>
      </c>
      <c r="B116">
        <v>0</v>
      </c>
      <c r="C116" s="3">
        <v>0</v>
      </c>
      <c r="D116" s="3">
        <v>0</v>
      </c>
      <c r="E116" s="10">
        <v>40610141</v>
      </c>
      <c r="F116">
        <v>0</v>
      </c>
      <c r="G116" s="10">
        <f t="shared" si="3"/>
        <v>40610141</v>
      </c>
      <c r="H116">
        <v>0</v>
      </c>
      <c r="I116" s="10">
        <v>40610141</v>
      </c>
      <c r="J116" s="10">
        <v>24045255</v>
      </c>
      <c r="K116" s="10">
        <f t="shared" si="2"/>
        <v>16564886</v>
      </c>
      <c r="L116" s="10"/>
    </row>
    <row r="117" spans="1:12" hidden="1" outlineLevel="1">
      <c r="A117" t="s">
        <v>121</v>
      </c>
      <c r="B117">
        <v>0</v>
      </c>
      <c r="C117" s="3">
        <v>0</v>
      </c>
      <c r="D117" s="3">
        <v>0</v>
      </c>
      <c r="E117" s="10">
        <v>50037791</v>
      </c>
      <c r="F117">
        <v>0</v>
      </c>
      <c r="G117" s="10">
        <f t="shared" si="3"/>
        <v>50037791</v>
      </c>
      <c r="H117">
        <v>0</v>
      </c>
      <c r="I117" s="10">
        <v>50037791</v>
      </c>
      <c r="J117" s="10">
        <v>54957900</v>
      </c>
      <c r="K117" s="10">
        <f t="shared" ref="K117:K162" si="4">+I117-J117</f>
        <v>-4920109</v>
      </c>
      <c r="L117" s="10"/>
    </row>
    <row r="118" spans="1:12" hidden="1" outlineLevel="1">
      <c r="A118" t="s">
        <v>122</v>
      </c>
      <c r="B118">
        <v>0</v>
      </c>
      <c r="C118" s="3">
        <v>0</v>
      </c>
      <c r="D118" s="3">
        <v>0</v>
      </c>
      <c r="E118" s="10">
        <v>250406</v>
      </c>
      <c r="F118">
        <v>0</v>
      </c>
      <c r="G118" s="10">
        <f t="shared" si="3"/>
        <v>250406</v>
      </c>
      <c r="H118">
        <v>0</v>
      </c>
      <c r="I118" s="10">
        <v>250406</v>
      </c>
      <c r="J118" s="10">
        <v>165000</v>
      </c>
      <c r="K118" s="10">
        <f t="shared" si="4"/>
        <v>85406</v>
      </c>
      <c r="L118" s="10"/>
    </row>
    <row r="119" spans="1:12" s="4" customFormat="1" collapsed="1">
      <c r="A119" s="4" t="s">
        <v>123</v>
      </c>
      <c r="B119" s="4">
        <v>0</v>
      </c>
      <c r="C119" s="5">
        <v>10601467</v>
      </c>
      <c r="D119" s="4">
        <v>0</v>
      </c>
      <c r="E119" s="5">
        <v>20745411</v>
      </c>
      <c r="F119" s="4">
        <v>0</v>
      </c>
      <c r="G119" s="5">
        <f t="shared" si="3"/>
        <v>31346878</v>
      </c>
      <c r="H119" s="4">
        <v>0</v>
      </c>
      <c r="I119" s="5">
        <v>31346878</v>
      </c>
      <c r="J119" s="5">
        <v>23335527</v>
      </c>
      <c r="K119" s="5">
        <f t="shared" si="4"/>
        <v>8011351</v>
      </c>
      <c r="L119" s="10"/>
    </row>
    <row r="120" spans="1:12" hidden="1" outlineLevel="1">
      <c r="A120" t="s">
        <v>124</v>
      </c>
      <c r="B120">
        <v>0</v>
      </c>
      <c r="C120" s="10">
        <v>763354</v>
      </c>
      <c r="D120" s="3">
        <v>0</v>
      </c>
      <c r="E120">
        <v>0</v>
      </c>
      <c r="F120">
        <v>0</v>
      </c>
      <c r="G120" s="10">
        <f t="shared" si="3"/>
        <v>763354</v>
      </c>
      <c r="H120">
        <v>0</v>
      </c>
      <c r="I120" s="10">
        <v>763354</v>
      </c>
      <c r="J120" s="10">
        <v>1166748</v>
      </c>
      <c r="K120" s="10">
        <f t="shared" si="4"/>
        <v>-403394</v>
      </c>
      <c r="L120" s="10"/>
    </row>
    <row r="121" spans="1:12" hidden="1" outlineLevel="1">
      <c r="A121" t="s">
        <v>223</v>
      </c>
      <c r="B121">
        <v>0</v>
      </c>
      <c r="C121" s="10">
        <v>6429697</v>
      </c>
      <c r="D121" s="3">
        <v>0</v>
      </c>
      <c r="E121" s="10">
        <v>3732588</v>
      </c>
      <c r="F121">
        <v>0</v>
      </c>
      <c r="G121" s="10">
        <f t="shared" si="3"/>
        <v>10162285</v>
      </c>
      <c r="H121">
        <v>0</v>
      </c>
      <c r="I121" s="10">
        <v>10162285</v>
      </c>
      <c r="J121" s="10">
        <v>9174758</v>
      </c>
      <c r="K121" s="10">
        <f t="shared" si="4"/>
        <v>987527</v>
      </c>
      <c r="L121" s="10"/>
    </row>
    <row r="122" spans="1:12" hidden="1" outlineLevel="1">
      <c r="A122" t="s">
        <v>125</v>
      </c>
      <c r="B122">
        <v>0</v>
      </c>
      <c r="C122" s="10">
        <v>3408416</v>
      </c>
      <c r="D122" s="3">
        <v>0</v>
      </c>
      <c r="E122" s="10">
        <v>967894</v>
      </c>
      <c r="F122">
        <v>0</v>
      </c>
      <c r="G122" s="10">
        <f t="shared" si="3"/>
        <v>4376310</v>
      </c>
      <c r="H122">
        <v>0</v>
      </c>
      <c r="I122" s="10">
        <v>4376310</v>
      </c>
      <c r="J122" s="10">
        <v>2378517</v>
      </c>
      <c r="K122" s="10">
        <f t="shared" si="4"/>
        <v>1997793</v>
      </c>
      <c r="L122" s="10"/>
    </row>
    <row r="123" spans="1:12" hidden="1" outlineLevel="1">
      <c r="A123" t="s">
        <v>126</v>
      </c>
      <c r="B123">
        <v>0</v>
      </c>
      <c r="C123" s="3">
        <v>0</v>
      </c>
      <c r="D123" s="3">
        <v>0</v>
      </c>
      <c r="E123" s="10">
        <v>12144630</v>
      </c>
      <c r="F123">
        <v>0</v>
      </c>
      <c r="G123" s="10">
        <f t="shared" si="3"/>
        <v>12144630</v>
      </c>
      <c r="H123">
        <v>0</v>
      </c>
      <c r="I123" s="10">
        <v>12144630</v>
      </c>
      <c r="J123" s="10">
        <v>9015504</v>
      </c>
      <c r="K123" s="10">
        <f t="shared" si="4"/>
        <v>3129126</v>
      </c>
      <c r="L123" s="10"/>
    </row>
    <row r="124" spans="1:12" hidden="1" outlineLevel="1">
      <c r="A124" t="s">
        <v>127</v>
      </c>
      <c r="B124">
        <v>0</v>
      </c>
      <c r="C124" s="3">
        <v>0</v>
      </c>
      <c r="D124" s="3">
        <v>0</v>
      </c>
      <c r="E124" s="10">
        <v>1766633</v>
      </c>
      <c r="F124">
        <v>0</v>
      </c>
      <c r="G124" s="10">
        <f t="shared" si="3"/>
        <v>1766633</v>
      </c>
      <c r="H124">
        <v>0</v>
      </c>
      <c r="I124" s="10">
        <v>1766633</v>
      </c>
      <c r="J124">
        <v>0</v>
      </c>
      <c r="K124" s="10">
        <f t="shared" si="4"/>
        <v>1766633</v>
      </c>
      <c r="L124" s="10"/>
    </row>
    <row r="125" spans="1:12" hidden="1" outlineLevel="1">
      <c r="A125" t="s">
        <v>128</v>
      </c>
      <c r="B125">
        <v>0</v>
      </c>
      <c r="C125" s="3">
        <v>0</v>
      </c>
      <c r="D125" s="3">
        <v>0</v>
      </c>
      <c r="E125" s="10">
        <v>2112834</v>
      </c>
      <c r="F125">
        <v>0</v>
      </c>
      <c r="G125" s="10">
        <f t="shared" si="3"/>
        <v>2112834</v>
      </c>
      <c r="H125">
        <v>0</v>
      </c>
      <c r="I125" s="10">
        <v>2112834</v>
      </c>
      <c r="J125" s="10">
        <v>1600000</v>
      </c>
      <c r="K125" s="10">
        <f t="shared" si="4"/>
        <v>512834</v>
      </c>
      <c r="L125" s="10"/>
    </row>
    <row r="126" spans="1:12" ht="13.9" hidden="1" customHeight="1" outlineLevel="1">
      <c r="A126" t="s">
        <v>129</v>
      </c>
      <c r="B126">
        <v>0</v>
      </c>
      <c r="C126" s="3">
        <v>0</v>
      </c>
      <c r="D126" s="3">
        <v>0</v>
      </c>
      <c r="E126" s="10">
        <v>20832</v>
      </c>
      <c r="F126">
        <v>0</v>
      </c>
      <c r="G126" s="10">
        <f t="shared" si="3"/>
        <v>20832</v>
      </c>
      <c r="H126">
        <v>0</v>
      </c>
      <c r="I126" s="10">
        <v>20832</v>
      </c>
      <c r="J126">
        <v>0</v>
      </c>
      <c r="K126" s="10">
        <f t="shared" si="4"/>
        <v>20832</v>
      </c>
      <c r="L126" s="10"/>
    </row>
    <row r="127" spans="1:12" s="4" customFormat="1" collapsed="1">
      <c r="A127" s="4" t="s">
        <v>130</v>
      </c>
      <c r="B127" s="4">
        <v>0</v>
      </c>
      <c r="C127" s="4">
        <v>0</v>
      </c>
      <c r="D127" s="4">
        <v>0</v>
      </c>
      <c r="E127" s="5">
        <v>17000</v>
      </c>
      <c r="F127" s="4">
        <v>0</v>
      </c>
      <c r="G127" s="5">
        <f t="shared" si="3"/>
        <v>17000</v>
      </c>
      <c r="H127" s="4">
        <v>0</v>
      </c>
      <c r="I127" s="5">
        <v>17000</v>
      </c>
      <c r="J127" s="5">
        <v>10000</v>
      </c>
      <c r="K127" s="5">
        <f t="shared" si="4"/>
        <v>7000</v>
      </c>
      <c r="L127" s="5"/>
    </row>
    <row r="128" spans="1:12" hidden="1" outlineLevel="1">
      <c r="A128" t="s">
        <v>131</v>
      </c>
      <c r="B128">
        <v>0</v>
      </c>
      <c r="C128" s="3">
        <v>0</v>
      </c>
      <c r="D128" s="3">
        <v>0</v>
      </c>
      <c r="E128" s="10">
        <v>17000</v>
      </c>
      <c r="F128">
        <v>0</v>
      </c>
      <c r="G128" s="10">
        <f t="shared" si="3"/>
        <v>17000</v>
      </c>
      <c r="H128">
        <v>0</v>
      </c>
      <c r="I128" s="10">
        <v>17000</v>
      </c>
      <c r="J128" s="10">
        <v>10000</v>
      </c>
      <c r="K128" s="10">
        <f t="shared" si="4"/>
        <v>7000</v>
      </c>
      <c r="L128" s="10"/>
    </row>
    <row r="129" spans="1:12" s="4" customFormat="1" collapsed="1">
      <c r="A129" s="4" t="s">
        <v>132</v>
      </c>
      <c r="B129" s="5">
        <v>-22889393</v>
      </c>
      <c r="C129" s="5">
        <v>97002629</v>
      </c>
      <c r="D129" s="5">
        <v>45000000</v>
      </c>
      <c r="E129" s="5">
        <v>72326048</v>
      </c>
      <c r="F129" s="4">
        <v>0</v>
      </c>
      <c r="G129" s="5">
        <f t="shared" si="3"/>
        <v>214328677</v>
      </c>
      <c r="H129" s="4">
        <v>0</v>
      </c>
      <c r="I129" s="5">
        <v>191439284</v>
      </c>
      <c r="J129" s="5">
        <v>192550668</v>
      </c>
      <c r="K129" s="5">
        <f t="shared" si="4"/>
        <v>-1111384</v>
      </c>
      <c r="L129" s="10"/>
    </row>
    <row r="130" spans="1:12" hidden="1" outlineLevel="1">
      <c r="A130" t="s">
        <v>133</v>
      </c>
      <c r="B130">
        <v>0</v>
      </c>
      <c r="C130" s="10">
        <v>9899884</v>
      </c>
      <c r="D130" s="3">
        <v>0</v>
      </c>
      <c r="E130" s="10">
        <v>196908</v>
      </c>
      <c r="F130">
        <v>0</v>
      </c>
      <c r="G130" s="10">
        <f t="shared" si="3"/>
        <v>10096792</v>
      </c>
      <c r="H130">
        <v>0</v>
      </c>
      <c r="I130" s="10">
        <v>10096792</v>
      </c>
      <c r="J130" s="10">
        <v>11236178</v>
      </c>
      <c r="K130" s="10">
        <f t="shared" si="4"/>
        <v>-1139386</v>
      </c>
      <c r="L130" s="10"/>
    </row>
    <row r="131" spans="1:12" hidden="1" outlineLevel="1">
      <c r="A131" t="s">
        <v>134</v>
      </c>
      <c r="B131">
        <v>0</v>
      </c>
      <c r="C131" s="10">
        <v>4712574</v>
      </c>
      <c r="D131" s="3">
        <v>0</v>
      </c>
      <c r="E131" s="10">
        <v>67632</v>
      </c>
      <c r="F131">
        <v>0</v>
      </c>
      <c r="G131" s="10">
        <f t="shared" si="3"/>
        <v>4780206</v>
      </c>
      <c r="H131">
        <v>0</v>
      </c>
      <c r="I131" s="10">
        <v>4780206</v>
      </c>
      <c r="J131" s="10">
        <v>4550970</v>
      </c>
      <c r="K131" s="10">
        <f t="shared" si="4"/>
        <v>229236</v>
      </c>
      <c r="L131" s="10"/>
    </row>
    <row r="132" spans="1:12" hidden="1" outlineLevel="1">
      <c r="A132" t="s">
        <v>135</v>
      </c>
      <c r="B132">
        <v>0</v>
      </c>
      <c r="C132" s="10">
        <v>569664</v>
      </c>
      <c r="D132" s="3">
        <v>0</v>
      </c>
      <c r="E132">
        <v>0</v>
      </c>
      <c r="F132">
        <v>0</v>
      </c>
      <c r="G132" s="10">
        <f t="shared" si="3"/>
        <v>569664</v>
      </c>
      <c r="H132">
        <v>0</v>
      </c>
      <c r="I132" s="10">
        <v>569664</v>
      </c>
      <c r="J132" s="10">
        <v>1107063</v>
      </c>
      <c r="K132" s="10">
        <f t="shared" si="4"/>
        <v>-537399</v>
      </c>
      <c r="L132" s="10"/>
    </row>
    <row r="133" spans="1:12" hidden="1" outlineLevel="1">
      <c r="A133" t="s">
        <v>136</v>
      </c>
      <c r="B133" s="10">
        <v>-930000</v>
      </c>
      <c r="C133" s="3">
        <v>0</v>
      </c>
      <c r="D133" s="3">
        <v>0</v>
      </c>
      <c r="E133" s="10">
        <v>3233497</v>
      </c>
      <c r="F133">
        <v>0</v>
      </c>
      <c r="G133" s="10">
        <f t="shared" si="3"/>
        <v>3233497</v>
      </c>
      <c r="H133">
        <v>0</v>
      </c>
      <c r="I133" s="10">
        <v>2303497</v>
      </c>
      <c r="J133" s="10">
        <v>5270000</v>
      </c>
      <c r="K133" s="10">
        <f t="shared" si="4"/>
        <v>-2966503</v>
      </c>
      <c r="L133" s="10"/>
    </row>
    <row r="134" spans="1:12" hidden="1" outlineLevel="1">
      <c r="A134" t="s">
        <v>137</v>
      </c>
      <c r="B134" s="10">
        <v>-21396393</v>
      </c>
      <c r="C134" s="10">
        <v>37837694</v>
      </c>
      <c r="D134" s="3">
        <v>0</v>
      </c>
      <c r="E134" s="10">
        <v>19193841</v>
      </c>
      <c r="F134">
        <v>0</v>
      </c>
      <c r="G134" s="10">
        <f t="shared" si="3"/>
        <v>57031535</v>
      </c>
      <c r="H134">
        <v>0</v>
      </c>
      <c r="I134" s="10">
        <v>35635142</v>
      </c>
      <c r="J134" s="10">
        <v>34910788</v>
      </c>
      <c r="K134" s="10">
        <f t="shared" si="4"/>
        <v>724354</v>
      </c>
      <c r="L134" s="10"/>
    </row>
    <row r="135" spans="1:12" hidden="1" outlineLevel="1">
      <c r="A135" t="s">
        <v>138</v>
      </c>
      <c r="B135">
        <v>0</v>
      </c>
      <c r="C135" s="10">
        <v>14403138</v>
      </c>
      <c r="D135" s="3">
        <v>0</v>
      </c>
      <c r="E135" s="10">
        <v>1394812</v>
      </c>
      <c r="F135">
        <v>0</v>
      </c>
      <c r="G135" s="10">
        <f t="shared" si="3"/>
        <v>15797950</v>
      </c>
      <c r="H135">
        <v>0</v>
      </c>
      <c r="I135" s="10">
        <v>15797950</v>
      </c>
      <c r="J135" s="10">
        <v>17219309</v>
      </c>
      <c r="K135" s="10">
        <f t="shared" si="4"/>
        <v>-1421359</v>
      </c>
      <c r="L135" s="10"/>
    </row>
    <row r="136" spans="1:12" hidden="1" outlineLevel="1">
      <c r="A136" t="s">
        <v>139</v>
      </c>
      <c r="B136" s="10">
        <v>-563000</v>
      </c>
      <c r="C136" s="10">
        <v>17129675</v>
      </c>
      <c r="D136" s="3">
        <v>0</v>
      </c>
      <c r="E136" s="10">
        <v>34394749</v>
      </c>
      <c r="F136">
        <v>0</v>
      </c>
      <c r="G136" s="10">
        <f t="shared" si="3"/>
        <v>51524424</v>
      </c>
      <c r="H136">
        <v>0</v>
      </c>
      <c r="I136" s="10">
        <v>50961424</v>
      </c>
      <c r="J136" s="10">
        <v>47226360</v>
      </c>
      <c r="K136" s="10">
        <f t="shared" si="4"/>
        <v>3735064</v>
      </c>
      <c r="L136" s="10"/>
    </row>
    <row r="137" spans="1:12" hidden="1" outlineLevel="1">
      <c r="A137" t="s">
        <v>140</v>
      </c>
      <c r="B137">
        <v>0</v>
      </c>
      <c r="C137" s="3">
        <v>0</v>
      </c>
      <c r="D137" s="3">
        <v>0</v>
      </c>
      <c r="E137" s="10">
        <v>12539269</v>
      </c>
      <c r="F137">
        <v>0</v>
      </c>
      <c r="G137" s="10">
        <f t="shared" si="3"/>
        <v>12539269</v>
      </c>
      <c r="H137">
        <v>0</v>
      </c>
      <c r="I137" s="10">
        <v>12539269</v>
      </c>
      <c r="J137" s="10">
        <v>12730000</v>
      </c>
      <c r="K137" s="10">
        <f t="shared" si="4"/>
        <v>-190731</v>
      </c>
      <c r="L137" s="10"/>
    </row>
    <row r="138" spans="1:12" hidden="1" outlineLevel="1">
      <c r="A138" t="s">
        <v>141</v>
      </c>
      <c r="B138">
        <v>0</v>
      </c>
      <c r="C138" s="10">
        <v>7350000</v>
      </c>
      <c r="D138" s="10">
        <v>45000000</v>
      </c>
      <c r="E138">
        <v>0</v>
      </c>
      <c r="F138">
        <v>0</v>
      </c>
      <c r="G138" s="10">
        <f t="shared" si="3"/>
        <v>52350000</v>
      </c>
      <c r="H138">
        <v>0</v>
      </c>
      <c r="I138" s="10">
        <v>52350000</v>
      </c>
      <c r="J138" s="10">
        <v>52350000</v>
      </c>
      <c r="K138" s="10">
        <f t="shared" si="4"/>
        <v>0</v>
      </c>
      <c r="L138" s="10"/>
    </row>
    <row r="139" spans="1:12" hidden="1" outlineLevel="1">
      <c r="A139" t="s">
        <v>142</v>
      </c>
      <c r="B139">
        <v>0</v>
      </c>
      <c r="C139" s="10">
        <v>5100000</v>
      </c>
      <c r="D139" s="3">
        <v>0</v>
      </c>
      <c r="E139">
        <v>0</v>
      </c>
      <c r="F139">
        <v>0</v>
      </c>
      <c r="G139" s="10">
        <f t="shared" si="3"/>
        <v>5100000</v>
      </c>
      <c r="H139">
        <v>0</v>
      </c>
      <c r="I139" s="10">
        <v>5100000</v>
      </c>
      <c r="J139" s="10">
        <v>5100000</v>
      </c>
      <c r="K139" s="10">
        <f t="shared" si="4"/>
        <v>0</v>
      </c>
      <c r="L139" s="10"/>
    </row>
    <row r="140" spans="1:12" hidden="1" outlineLevel="1">
      <c r="A140" t="s">
        <v>143</v>
      </c>
      <c r="B140">
        <v>0</v>
      </c>
      <c r="C140" s="3">
        <v>0</v>
      </c>
      <c r="D140" s="3">
        <v>0</v>
      </c>
      <c r="E140" s="10">
        <v>37675</v>
      </c>
      <c r="F140">
        <v>0</v>
      </c>
      <c r="G140" s="10">
        <f t="shared" si="3"/>
        <v>37675</v>
      </c>
      <c r="H140">
        <v>0</v>
      </c>
      <c r="I140" s="10">
        <v>37675</v>
      </c>
      <c r="J140">
        <v>0</v>
      </c>
      <c r="K140" s="10">
        <f t="shared" si="4"/>
        <v>37675</v>
      </c>
      <c r="L140" s="10"/>
    </row>
    <row r="141" spans="1:12" hidden="1" outlineLevel="1">
      <c r="A141" t="s">
        <v>220</v>
      </c>
      <c r="B141">
        <v>0</v>
      </c>
      <c r="C141" s="3">
        <v>0</v>
      </c>
      <c r="D141" s="3">
        <v>0</v>
      </c>
      <c r="E141" s="10">
        <v>1267665</v>
      </c>
      <c r="F141">
        <v>0</v>
      </c>
      <c r="G141" s="10">
        <f t="shared" si="3"/>
        <v>1267665</v>
      </c>
      <c r="H141">
        <v>0</v>
      </c>
      <c r="I141" s="10">
        <v>1267665</v>
      </c>
      <c r="J141" s="10">
        <v>850000</v>
      </c>
      <c r="K141" s="10">
        <f t="shared" si="4"/>
        <v>417665</v>
      </c>
      <c r="L141" s="10"/>
    </row>
    <row r="142" spans="1:12" s="4" customFormat="1" collapsed="1">
      <c r="A142" s="4" t="s">
        <v>144</v>
      </c>
      <c r="B142" s="5">
        <v>-9250003</v>
      </c>
      <c r="C142" s="4">
        <v>0</v>
      </c>
      <c r="D142" s="4">
        <v>0</v>
      </c>
      <c r="E142" s="5">
        <v>523356</v>
      </c>
      <c r="F142" s="4">
        <v>0</v>
      </c>
      <c r="G142" s="5">
        <f t="shared" ref="G142:G190" si="5">SUM(C142:F142)</f>
        <v>523356</v>
      </c>
      <c r="H142" s="5">
        <v>-68510502</v>
      </c>
      <c r="I142" s="5">
        <v>-77237149</v>
      </c>
      <c r="J142" s="5">
        <v>-99097000</v>
      </c>
      <c r="K142" s="5">
        <f t="shared" si="4"/>
        <v>21859851</v>
      </c>
      <c r="L142" s="10"/>
    </row>
    <row r="143" spans="1:12" hidden="1" outlineLevel="1">
      <c r="A143" t="s">
        <v>145</v>
      </c>
      <c r="B143">
        <v>0</v>
      </c>
      <c r="C143" s="3">
        <v>0</v>
      </c>
      <c r="D143" s="3">
        <v>0</v>
      </c>
      <c r="E143" s="10">
        <v>486811</v>
      </c>
      <c r="F143">
        <v>0</v>
      </c>
      <c r="G143" s="10">
        <f t="shared" si="5"/>
        <v>486811</v>
      </c>
      <c r="H143" s="10">
        <v>-4730723</v>
      </c>
      <c r="I143" s="10">
        <v>-4243912</v>
      </c>
      <c r="J143" s="10">
        <v>-1500000</v>
      </c>
      <c r="K143" s="10">
        <f t="shared" si="4"/>
        <v>-2743912</v>
      </c>
      <c r="L143" s="10"/>
    </row>
    <row r="144" spans="1:12" hidden="1" outlineLevel="1">
      <c r="A144" t="s">
        <v>146</v>
      </c>
      <c r="B144" s="10">
        <v>-9250003</v>
      </c>
      <c r="C144" s="3">
        <v>0</v>
      </c>
      <c r="D144" s="3">
        <v>0</v>
      </c>
      <c r="E144">
        <v>0</v>
      </c>
      <c r="F144">
        <v>0</v>
      </c>
      <c r="G144" s="10">
        <f t="shared" si="5"/>
        <v>0</v>
      </c>
      <c r="H144">
        <v>0</v>
      </c>
      <c r="I144" s="10">
        <v>-9250003</v>
      </c>
      <c r="J144" s="10">
        <v>-9250003</v>
      </c>
      <c r="K144" s="10">
        <f t="shared" si="4"/>
        <v>0</v>
      </c>
      <c r="L144" s="10"/>
    </row>
    <row r="145" spans="1:12" hidden="1" outlineLevel="1">
      <c r="A145" t="s">
        <v>227</v>
      </c>
      <c r="B145">
        <v>0</v>
      </c>
      <c r="C145" s="3">
        <v>0</v>
      </c>
      <c r="D145" s="3">
        <v>0</v>
      </c>
      <c r="E145">
        <v>0</v>
      </c>
      <c r="F145">
        <v>0</v>
      </c>
      <c r="G145" s="10">
        <f t="shared" si="5"/>
        <v>0</v>
      </c>
      <c r="H145" s="10">
        <v>-74228884</v>
      </c>
      <c r="I145" s="10">
        <v>-74228884</v>
      </c>
      <c r="J145" s="10">
        <v>-92246997</v>
      </c>
      <c r="K145" s="10">
        <f t="shared" si="4"/>
        <v>18018113</v>
      </c>
      <c r="L145" s="10"/>
    </row>
    <row r="146" spans="1:12" hidden="1" outlineLevel="1">
      <c r="A146" t="s">
        <v>147</v>
      </c>
      <c r="B146">
        <v>0</v>
      </c>
      <c r="C146" s="3">
        <v>0</v>
      </c>
      <c r="D146" s="3">
        <v>0</v>
      </c>
      <c r="E146" s="10">
        <v>36545</v>
      </c>
      <c r="F146">
        <v>0</v>
      </c>
      <c r="G146" s="10">
        <f t="shared" si="5"/>
        <v>36545</v>
      </c>
      <c r="H146" s="10">
        <f>10449105</f>
        <v>10449105</v>
      </c>
      <c r="I146" s="10">
        <v>10485650</v>
      </c>
      <c r="J146" s="10">
        <v>3900000</v>
      </c>
      <c r="K146" s="10">
        <f t="shared" si="4"/>
        <v>6585650</v>
      </c>
      <c r="L146" s="10"/>
    </row>
    <row r="147" spans="1:12" s="4" customFormat="1" collapsed="1">
      <c r="A147" s="4" t="s">
        <v>148</v>
      </c>
      <c r="B147" s="5">
        <v>-439831228</v>
      </c>
      <c r="C147" s="5">
        <v>11843802</v>
      </c>
      <c r="D147" s="4">
        <v>0</v>
      </c>
      <c r="E147" s="5">
        <v>156676838</v>
      </c>
      <c r="F147" s="5">
        <v>96615672</v>
      </c>
      <c r="G147" s="5">
        <f t="shared" si="5"/>
        <v>265136312</v>
      </c>
      <c r="H147" s="5">
        <v>172111900</v>
      </c>
      <c r="I147" s="5">
        <v>-2583016</v>
      </c>
      <c r="J147" s="5">
        <v>30209848</v>
      </c>
      <c r="K147" s="5">
        <f t="shared" si="4"/>
        <v>-32792864</v>
      </c>
      <c r="L147" s="10"/>
    </row>
    <row r="148" spans="1:12" hidden="1" outlineLevel="1">
      <c r="A148" t="s">
        <v>149</v>
      </c>
      <c r="B148" s="10">
        <v>-15319629</v>
      </c>
      <c r="C148" s="3">
        <v>0</v>
      </c>
      <c r="D148" s="3">
        <v>0</v>
      </c>
      <c r="E148">
        <v>0</v>
      </c>
      <c r="F148" s="10">
        <v>5957901</v>
      </c>
      <c r="G148" s="10">
        <f t="shared" si="5"/>
        <v>5957901</v>
      </c>
      <c r="H148">
        <v>0</v>
      </c>
      <c r="I148" s="10">
        <v>-9361728</v>
      </c>
      <c r="J148" s="10">
        <v>-9361727</v>
      </c>
      <c r="K148" s="10">
        <f t="shared" si="4"/>
        <v>-1</v>
      </c>
      <c r="L148" s="10"/>
    </row>
    <row r="149" spans="1:12" hidden="1" outlineLevel="1">
      <c r="A149" t="s">
        <v>150</v>
      </c>
      <c r="B149" s="10">
        <v>-7459879</v>
      </c>
      <c r="C149" s="10">
        <v>11843802</v>
      </c>
      <c r="D149" s="3">
        <v>0</v>
      </c>
      <c r="E149" s="10">
        <v>5830027</v>
      </c>
      <c r="F149">
        <v>0</v>
      </c>
      <c r="G149" s="10">
        <f t="shared" si="5"/>
        <v>17673829</v>
      </c>
      <c r="H149">
        <v>0</v>
      </c>
      <c r="I149" s="10">
        <v>10213950</v>
      </c>
      <c r="J149" s="10">
        <v>8021653</v>
      </c>
      <c r="K149" s="10">
        <f t="shared" si="4"/>
        <v>2192297</v>
      </c>
      <c r="L149" s="10"/>
    </row>
    <row r="150" spans="1:12" hidden="1" outlineLevel="1">
      <c r="A150" t="s">
        <v>151</v>
      </c>
      <c r="B150" s="10">
        <v>-4672062</v>
      </c>
      <c r="C150" s="3">
        <v>0</v>
      </c>
      <c r="D150" s="3">
        <v>0</v>
      </c>
      <c r="E150" s="10">
        <v>3525988</v>
      </c>
      <c r="F150" s="10">
        <v>378294</v>
      </c>
      <c r="G150" s="10">
        <f t="shared" si="5"/>
        <v>3904282</v>
      </c>
      <c r="H150">
        <v>0</v>
      </c>
      <c r="I150" s="10">
        <v>-767780</v>
      </c>
      <c r="J150" s="10">
        <v>-3000425</v>
      </c>
      <c r="K150" s="10">
        <f t="shared" si="4"/>
        <v>2232645</v>
      </c>
      <c r="L150" s="10"/>
    </row>
    <row r="151" spans="1:12" hidden="1" outlineLevel="1">
      <c r="A151" t="s">
        <v>152</v>
      </c>
      <c r="B151" s="10">
        <v>-4963509</v>
      </c>
      <c r="C151" s="3">
        <v>0</v>
      </c>
      <c r="D151" s="3">
        <v>0</v>
      </c>
      <c r="E151" s="10">
        <v>3511280</v>
      </c>
      <c r="F151" s="10">
        <v>702645</v>
      </c>
      <c r="G151" s="10">
        <f t="shared" si="5"/>
        <v>4213925</v>
      </c>
      <c r="H151">
        <v>0</v>
      </c>
      <c r="I151" s="10">
        <v>-749584</v>
      </c>
      <c r="J151" s="10">
        <v>-3209930</v>
      </c>
      <c r="K151" s="10">
        <f t="shared" si="4"/>
        <v>2460346</v>
      </c>
      <c r="L151" s="10"/>
    </row>
    <row r="152" spans="1:12" hidden="1" outlineLevel="1">
      <c r="A152" t="s">
        <v>153</v>
      </c>
      <c r="B152" s="10">
        <v>-7727412</v>
      </c>
      <c r="C152" s="3">
        <v>0</v>
      </c>
      <c r="D152" s="3">
        <v>0</v>
      </c>
      <c r="E152" s="10">
        <v>2373170</v>
      </c>
      <c r="F152" s="10">
        <v>1087281</v>
      </c>
      <c r="G152" s="10">
        <f t="shared" si="5"/>
        <v>3460451</v>
      </c>
      <c r="H152">
        <v>0</v>
      </c>
      <c r="I152" s="10">
        <v>-4266961</v>
      </c>
      <c r="J152" s="10">
        <v>-5434861</v>
      </c>
      <c r="K152" s="10">
        <f t="shared" si="4"/>
        <v>1167900</v>
      </c>
      <c r="L152" s="10"/>
    </row>
    <row r="153" spans="1:12" hidden="1" outlineLevel="1">
      <c r="A153" t="s">
        <v>154</v>
      </c>
      <c r="B153" s="10">
        <v>-9700944</v>
      </c>
      <c r="C153" s="3">
        <v>0</v>
      </c>
      <c r="D153" s="3">
        <v>0</v>
      </c>
      <c r="E153" s="10">
        <v>4360909</v>
      </c>
      <c r="F153" s="10">
        <v>1444233</v>
      </c>
      <c r="G153" s="10">
        <f t="shared" si="5"/>
        <v>5805142</v>
      </c>
      <c r="H153">
        <v>0</v>
      </c>
      <c r="I153" s="10">
        <v>-3895802</v>
      </c>
      <c r="J153" s="10">
        <v>-6400559</v>
      </c>
      <c r="K153" s="10">
        <f t="shared" si="4"/>
        <v>2504757</v>
      </c>
      <c r="L153" s="10"/>
    </row>
    <row r="154" spans="1:12" hidden="1" outlineLevel="1">
      <c r="A154" t="s">
        <v>155</v>
      </c>
      <c r="B154" s="10">
        <v>-14076393</v>
      </c>
      <c r="C154" s="3">
        <v>0</v>
      </c>
      <c r="D154" s="3">
        <v>0</v>
      </c>
      <c r="E154" s="10">
        <v>4130859</v>
      </c>
      <c r="F154" s="10">
        <v>4614234</v>
      </c>
      <c r="G154" s="10">
        <f t="shared" si="5"/>
        <v>8745093</v>
      </c>
      <c r="H154">
        <v>0</v>
      </c>
      <c r="I154" s="10">
        <v>-5331300</v>
      </c>
      <c r="J154" s="10">
        <v>-8355371</v>
      </c>
      <c r="K154" s="10">
        <f t="shared" si="4"/>
        <v>3024071</v>
      </c>
      <c r="L154" s="10"/>
    </row>
    <row r="155" spans="1:12" hidden="1" outlineLevel="1">
      <c r="A155" t="s">
        <v>156</v>
      </c>
      <c r="B155" s="10">
        <v>-218979</v>
      </c>
      <c r="C155" s="3">
        <v>0</v>
      </c>
      <c r="D155" s="3">
        <v>0</v>
      </c>
      <c r="E155" s="10">
        <v>126017</v>
      </c>
      <c r="F155" s="10">
        <v>28131</v>
      </c>
      <c r="G155" s="10">
        <f t="shared" si="5"/>
        <v>154148</v>
      </c>
      <c r="H155">
        <v>0</v>
      </c>
      <c r="I155" s="10">
        <v>-64831</v>
      </c>
      <c r="J155" s="10">
        <v>-97224</v>
      </c>
      <c r="K155" s="10">
        <f t="shared" si="4"/>
        <v>32393</v>
      </c>
      <c r="L155" s="10"/>
    </row>
    <row r="156" spans="1:12" hidden="1" outlineLevel="1">
      <c r="A156" t="s">
        <v>157</v>
      </c>
      <c r="B156" s="10">
        <v>-46595724</v>
      </c>
      <c r="C156" s="3">
        <v>0</v>
      </c>
      <c r="D156" s="3">
        <v>0</v>
      </c>
      <c r="E156" s="10">
        <v>22961987</v>
      </c>
      <c r="F156" s="10">
        <v>6260643</v>
      </c>
      <c r="G156" s="10">
        <f t="shared" si="5"/>
        <v>29222630</v>
      </c>
      <c r="H156">
        <v>0</v>
      </c>
      <c r="I156" s="10">
        <v>-17373094</v>
      </c>
      <c r="J156" s="10">
        <v>-30965478</v>
      </c>
      <c r="K156" s="10">
        <f t="shared" si="4"/>
        <v>13592384</v>
      </c>
      <c r="L156" s="10"/>
    </row>
    <row r="157" spans="1:12" hidden="1" outlineLevel="1">
      <c r="A157" t="s">
        <v>158</v>
      </c>
      <c r="B157" s="10">
        <v>-57106194</v>
      </c>
      <c r="C157" s="3">
        <v>0</v>
      </c>
      <c r="D157" s="3">
        <v>0</v>
      </c>
      <c r="E157" s="10">
        <v>17969432</v>
      </c>
      <c r="F157" s="10">
        <v>8356764</v>
      </c>
      <c r="G157" s="10">
        <f t="shared" si="5"/>
        <v>26326196</v>
      </c>
      <c r="H157">
        <v>0</v>
      </c>
      <c r="I157" s="10">
        <v>-30779998</v>
      </c>
      <c r="J157" s="10">
        <v>-34403524</v>
      </c>
      <c r="K157" s="10">
        <f t="shared" si="4"/>
        <v>3623526</v>
      </c>
      <c r="L157" s="10"/>
    </row>
    <row r="158" spans="1:12" hidden="1" outlineLevel="1">
      <c r="A158" t="s">
        <v>159</v>
      </c>
      <c r="B158" s="10">
        <v>-31470846</v>
      </c>
      <c r="C158" s="3">
        <v>0</v>
      </c>
      <c r="D158" s="3">
        <v>0</v>
      </c>
      <c r="E158" s="10">
        <v>8656750</v>
      </c>
      <c r="F158" s="10">
        <v>6589215</v>
      </c>
      <c r="G158" s="10">
        <f t="shared" si="5"/>
        <v>15245965</v>
      </c>
      <c r="H158">
        <v>0</v>
      </c>
      <c r="I158" s="10">
        <v>-16224881</v>
      </c>
      <c r="J158" s="10">
        <v>-19628171</v>
      </c>
      <c r="K158" s="10">
        <f t="shared" si="4"/>
        <v>3403290</v>
      </c>
      <c r="L158" s="10"/>
    </row>
    <row r="159" spans="1:12" hidden="1" outlineLevel="1">
      <c r="A159" t="s">
        <v>160</v>
      </c>
      <c r="B159" s="10">
        <v>-11410146</v>
      </c>
      <c r="C159" s="3">
        <v>0</v>
      </c>
      <c r="D159" s="3">
        <v>0</v>
      </c>
      <c r="E159" s="10">
        <v>4595995</v>
      </c>
      <c r="F159" s="10">
        <v>2807274</v>
      </c>
      <c r="G159" s="10">
        <f t="shared" si="5"/>
        <v>7403269</v>
      </c>
      <c r="H159">
        <v>0</v>
      </c>
      <c r="I159" s="10">
        <v>-4006877</v>
      </c>
      <c r="J159" s="10">
        <v>-6662669</v>
      </c>
      <c r="K159" s="10">
        <f t="shared" si="4"/>
        <v>2655792</v>
      </c>
      <c r="L159" s="10"/>
    </row>
    <row r="160" spans="1:12" hidden="1" outlineLevel="1">
      <c r="A160" t="s">
        <v>161</v>
      </c>
      <c r="B160" s="10">
        <v>-3617541</v>
      </c>
      <c r="C160" s="3">
        <v>0</v>
      </c>
      <c r="D160" s="3">
        <v>0</v>
      </c>
      <c r="E160" s="10">
        <v>2289752</v>
      </c>
      <c r="F160" s="10">
        <v>531831</v>
      </c>
      <c r="G160" s="10">
        <f t="shared" si="5"/>
        <v>2821583</v>
      </c>
      <c r="H160">
        <v>0</v>
      </c>
      <c r="I160" s="10">
        <v>-795958</v>
      </c>
      <c r="J160" s="10">
        <v>-2306784</v>
      </c>
      <c r="K160" s="10">
        <f t="shared" si="4"/>
        <v>1510826</v>
      </c>
      <c r="L160" s="10"/>
    </row>
    <row r="161" spans="1:12" hidden="1" outlineLevel="1">
      <c r="A161" t="s">
        <v>162</v>
      </c>
      <c r="B161" s="10">
        <v>-51362175</v>
      </c>
      <c r="C161" s="3">
        <v>0</v>
      </c>
      <c r="D161" s="3">
        <v>0</v>
      </c>
      <c r="E161" s="10">
        <v>3674487</v>
      </c>
      <c r="F161" s="10">
        <v>15440196</v>
      </c>
      <c r="G161" s="10">
        <f t="shared" si="5"/>
        <v>19114683</v>
      </c>
      <c r="H161">
        <v>0</v>
      </c>
      <c r="I161" s="10">
        <v>-32247492</v>
      </c>
      <c r="J161" s="10">
        <v>-33776913</v>
      </c>
      <c r="K161" s="10">
        <f t="shared" si="4"/>
        <v>1529421</v>
      </c>
      <c r="L161" s="10"/>
    </row>
    <row r="162" spans="1:12" hidden="1" outlineLevel="1">
      <c r="A162" t="s">
        <v>163</v>
      </c>
      <c r="B162" s="10">
        <v>-4128279</v>
      </c>
      <c r="C162" s="3">
        <v>0</v>
      </c>
      <c r="D162" s="3">
        <v>0</v>
      </c>
      <c r="E162">
        <v>0</v>
      </c>
      <c r="F162" s="10">
        <v>903486</v>
      </c>
      <c r="G162" s="10">
        <f t="shared" si="5"/>
        <v>903486</v>
      </c>
      <c r="H162">
        <v>0</v>
      </c>
      <c r="I162" s="10">
        <v>-3224793</v>
      </c>
      <c r="J162" s="10">
        <v>-3224798</v>
      </c>
      <c r="K162" s="10">
        <f t="shared" si="4"/>
        <v>5</v>
      </c>
      <c r="L162" s="10"/>
    </row>
    <row r="163" spans="1:12" hidden="1" outlineLevel="1">
      <c r="A163" t="s">
        <v>164</v>
      </c>
      <c r="B163" s="10">
        <v>-8996295</v>
      </c>
      <c r="C163" s="3">
        <v>0</v>
      </c>
      <c r="D163" s="3">
        <v>0</v>
      </c>
      <c r="E163">
        <v>0</v>
      </c>
      <c r="F163" s="10">
        <v>3710913</v>
      </c>
      <c r="G163" s="10">
        <f t="shared" si="5"/>
        <v>3710913</v>
      </c>
      <c r="H163">
        <v>0</v>
      </c>
      <c r="I163" s="10">
        <v>-5285382</v>
      </c>
      <c r="J163" s="10">
        <v>-5285382</v>
      </c>
      <c r="K163" s="10">
        <f t="shared" ref="K163:K212" si="6">+I163-J163</f>
        <v>0</v>
      </c>
      <c r="L163" s="10"/>
    </row>
    <row r="164" spans="1:12" hidden="1" outlineLevel="1">
      <c r="A164" t="s">
        <v>165</v>
      </c>
      <c r="B164">
        <v>0</v>
      </c>
      <c r="C164" s="3">
        <v>0</v>
      </c>
      <c r="D164" s="3">
        <v>0</v>
      </c>
      <c r="E164" s="10">
        <v>624751</v>
      </c>
      <c r="F164">
        <v>0</v>
      </c>
      <c r="G164" s="10">
        <f t="shared" si="5"/>
        <v>624751</v>
      </c>
      <c r="H164">
        <v>0</v>
      </c>
      <c r="I164" s="10">
        <v>624751</v>
      </c>
      <c r="J164" s="10">
        <v>153812</v>
      </c>
      <c r="K164" s="10">
        <f t="shared" si="6"/>
        <v>470939</v>
      </c>
      <c r="L164" s="10"/>
    </row>
    <row r="165" spans="1:12" hidden="1" outlineLevel="1">
      <c r="A165" t="s">
        <v>166</v>
      </c>
      <c r="B165" s="10">
        <v>-2824176</v>
      </c>
      <c r="C165" s="3">
        <v>0</v>
      </c>
      <c r="D165" s="3">
        <v>0</v>
      </c>
      <c r="E165" s="10">
        <v>2849066</v>
      </c>
      <c r="F165" s="10">
        <v>428301</v>
      </c>
      <c r="G165" s="10">
        <f t="shared" si="5"/>
        <v>3277367</v>
      </c>
      <c r="H165">
        <v>0</v>
      </c>
      <c r="I165" s="10">
        <v>453191</v>
      </c>
      <c r="J165" s="10">
        <v>-1201254</v>
      </c>
      <c r="K165" s="10">
        <f t="shared" si="6"/>
        <v>1654445</v>
      </c>
      <c r="L165" s="10"/>
    </row>
    <row r="166" spans="1:12" hidden="1" outlineLevel="1">
      <c r="A166" t="s">
        <v>167</v>
      </c>
      <c r="B166" s="10">
        <v>-404085</v>
      </c>
      <c r="C166" s="3">
        <v>0</v>
      </c>
      <c r="D166" s="3">
        <v>0</v>
      </c>
      <c r="E166">
        <v>0</v>
      </c>
      <c r="F166" s="10">
        <v>180726</v>
      </c>
      <c r="G166" s="10">
        <f t="shared" si="5"/>
        <v>180726</v>
      </c>
      <c r="H166">
        <v>0</v>
      </c>
      <c r="I166" s="10">
        <v>-223359</v>
      </c>
      <c r="J166" s="10">
        <v>-223359</v>
      </c>
      <c r="K166" s="10">
        <f t="shared" si="6"/>
        <v>0</v>
      </c>
      <c r="L166" s="10"/>
    </row>
    <row r="167" spans="1:12" hidden="1" outlineLevel="1">
      <c r="A167" t="s">
        <v>168</v>
      </c>
      <c r="B167" s="10">
        <v>-2351595</v>
      </c>
      <c r="C167" s="3">
        <v>0</v>
      </c>
      <c r="D167" s="3">
        <v>0</v>
      </c>
      <c r="E167">
        <v>0</v>
      </c>
      <c r="F167" s="10">
        <v>905049</v>
      </c>
      <c r="G167" s="10">
        <f t="shared" si="5"/>
        <v>905049</v>
      </c>
      <c r="H167">
        <v>0</v>
      </c>
      <c r="I167" s="10">
        <v>-1446546</v>
      </c>
      <c r="J167" s="10">
        <v>-1557348</v>
      </c>
      <c r="K167" s="10">
        <f t="shared" si="6"/>
        <v>110802</v>
      </c>
      <c r="L167" s="10"/>
    </row>
    <row r="168" spans="1:12" hidden="1" outlineLevel="1">
      <c r="A168" t="s">
        <v>169</v>
      </c>
      <c r="B168" s="10">
        <v>-9590049</v>
      </c>
      <c r="C168" s="3">
        <v>0</v>
      </c>
      <c r="D168" s="3">
        <v>0</v>
      </c>
      <c r="E168" s="10">
        <v>2527860</v>
      </c>
      <c r="F168" s="10">
        <v>961197</v>
      </c>
      <c r="G168" s="10">
        <f t="shared" si="5"/>
        <v>3489057</v>
      </c>
      <c r="H168">
        <v>0</v>
      </c>
      <c r="I168" s="10">
        <v>-6100992</v>
      </c>
      <c r="J168" s="10">
        <v>-6332830</v>
      </c>
      <c r="K168" s="10">
        <f t="shared" si="6"/>
        <v>231838</v>
      </c>
      <c r="L168" s="10"/>
    </row>
    <row r="169" spans="1:12" hidden="1" outlineLevel="1">
      <c r="A169" t="s">
        <v>170</v>
      </c>
      <c r="B169">
        <v>0</v>
      </c>
      <c r="C169" s="3">
        <v>0</v>
      </c>
      <c r="D169" s="3">
        <v>0</v>
      </c>
      <c r="E169" s="10">
        <v>67358</v>
      </c>
      <c r="F169">
        <v>0</v>
      </c>
      <c r="G169" s="10">
        <f t="shared" si="5"/>
        <v>67358</v>
      </c>
      <c r="H169">
        <v>0</v>
      </c>
      <c r="I169" s="10">
        <v>67358</v>
      </c>
      <c r="J169" s="10">
        <v>63200</v>
      </c>
      <c r="K169" s="10">
        <f t="shared" si="6"/>
        <v>4158</v>
      </c>
      <c r="L169" s="10"/>
    </row>
    <row r="170" spans="1:12" hidden="1" outlineLevel="1">
      <c r="A170" t="s">
        <v>171</v>
      </c>
      <c r="B170" s="10">
        <v>-2483355</v>
      </c>
      <c r="C170" s="3">
        <v>0</v>
      </c>
      <c r="D170" s="3">
        <v>0</v>
      </c>
      <c r="E170" s="10">
        <v>2856906</v>
      </c>
      <c r="F170" s="10">
        <v>481224</v>
      </c>
      <c r="G170" s="10">
        <f t="shared" si="5"/>
        <v>3338130</v>
      </c>
      <c r="H170">
        <v>0</v>
      </c>
      <c r="I170" s="10">
        <v>854775</v>
      </c>
      <c r="J170" s="10">
        <v>-401413</v>
      </c>
      <c r="K170" s="10">
        <f t="shared" si="6"/>
        <v>1256188</v>
      </c>
      <c r="L170" s="10"/>
    </row>
    <row r="171" spans="1:12" hidden="1" outlineLevel="1">
      <c r="A171" t="s">
        <v>172</v>
      </c>
      <c r="B171" s="10">
        <v>-4364283</v>
      </c>
      <c r="C171" s="3">
        <v>0</v>
      </c>
      <c r="D171" s="3">
        <v>0</v>
      </c>
      <c r="E171">
        <v>0</v>
      </c>
      <c r="F171" s="10">
        <v>3071481</v>
      </c>
      <c r="G171" s="10">
        <f t="shared" si="5"/>
        <v>3071481</v>
      </c>
      <c r="H171">
        <v>0</v>
      </c>
      <c r="I171" s="10">
        <v>-1292802</v>
      </c>
      <c r="J171" s="10">
        <v>-1292808</v>
      </c>
      <c r="K171" s="10">
        <f t="shared" si="6"/>
        <v>6</v>
      </c>
      <c r="L171" s="10"/>
    </row>
    <row r="172" spans="1:12" hidden="1" outlineLevel="1">
      <c r="A172" t="s">
        <v>173</v>
      </c>
      <c r="B172">
        <v>0</v>
      </c>
      <c r="C172" s="3">
        <v>0</v>
      </c>
      <c r="D172" s="3">
        <v>0</v>
      </c>
      <c r="E172">
        <v>0</v>
      </c>
      <c r="F172" s="10">
        <v>411942</v>
      </c>
      <c r="G172" s="10">
        <f t="shared" si="5"/>
        <v>411942</v>
      </c>
      <c r="H172">
        <v>0</v>
      </c>
      <c r="I172" s="10">
        <v>411942</v>
      </c>
      <c r="J172" s="10">
        <v>411942</v>
      </c>
      <c r="K172" s="10">
        <f t="shared" si="6"/>
        <v>0</v>
      </c>
      <c r="L172" s="10"/>
    </row>
    <row r="173" spans="1:12" hidden="1" outlineLevel="1">
      <c r="A173" t="s">
        <v>228</v>
      </c>
      <c r="B173">
        <v>0</v>
      </c>
      <c r="C173" s="3">
        <v>0</v>
      </c>
      <c r="D173" s="3">
        <v>0</v>
      </c>
      <c r="E173">
        <v>0</v>
      </c>
      <c r="F173" s="10">
        <v>8210433</v>
      </c>
      <c r="G173" s="10">
        <f t="shared" si="5"/>
        <v>8210433</v>
      </c>
      <c r="H173">
        <v>0</v>
      </c>
      <c r="I173" s="10">
        <v>8210433</v>
      </c>
      <c r="J173">
        <v>0</v>
      </c>
      <c r="K173" s="10">
        <f t="shared" si="6"/>
        <v>8210433</v>
      </c>
      <c r="L173" s="10"/>
    </row>
    <row r="174" spans="1:12" hidden="1" outlineLevel="1">
      <c r="A174" t="s">
        <v>174</v>
      </c>
      <c r="B174" s="10">
        <v>-61095570</v>
      </c>
      <c r="C174" s="3">
        <v>0</v>
      </c>
      <c r="D174" s="3">
        <v>0</v>
      </c>
      <c r="E174" s="10">
        <v>31732114</v>
      </c>
      <c r="F174" s="10">
        <v>7670682</v>
      </c>
      <c r="G174" s="10">
        <f t="shared" si="5"/>
        <v>39402796</v>
      </c>
      <c r="H174">
        <v>0</v>
      </c>
      <c r="I174" s="10">
        <v>-21692774</v>
      </c>
      <c r="J174" s="10">
        <v>-41702044</v>
      </c>
      <c r="K174" s="10">
        <f t="shared" si="6"/>
        <v>20009270</v>
      </c>
      <c r="L174" s="10"/>
    </row>
    <row r="175" spans="1:12" hidden="1" outlineLevel="1">
      <c r="A175" t="s">
        <v>175</v>
      </c>
      <c r="B175" s="10">
        <v>-9031704</v>
      </c>
      <c r="C175" s="3">
        <v>0</v>
      </c>
      <c r="D175" s="3">
        <v>0</v>
      </c>
      <c r="E175" s="10">
        <v>269700</v>
      </c>
      <c r="F175" s="10">
        <v>2564598</v>
      </c>
      <c r="G175" s="10">
        <f t="shared" si="5"/>
        <v>2834298</v>
      </c>
      <c r="H175">
        <v>0</v>
      </c>
      <c r="I175" s="10">
        <v>-6197406</v>
      </c>
      <c r="J175" s="10">
        <v>-6461388</v>
      </c>
      <c r="K175" s="10">
        <f t="shared" si="6"/>
        <v>263982</v>
      </c>
      <c r="L175" s="10"/>
    </row>
    <row r="176" spans="1:12" hidden="1" outlineLevel="1">
      <c r="A176" t="s">
        <v>176</v>
      </c>
      <c r="B176" s="10">
        <v>-1042518</v>
      </c>
      <c r="C176" s="3">
        <v>0</v>
      </c>
      <c r="D176" s="3">
        <v>0</v>
      </c>
      <c r="E176" s="10">
        <v>541904</v>
      </c>
      <c r="F176" s="10">
        <v>150825</v>
      </c>
      <c r="G176" s="10">
        <f t="shared" si="5"/>
        <v>692729</v>
      </c>
      <c r="H176">
        <v>0</v>
      </c>
      <c r="I176" s="10">
        <v>-349789</v>
      </c>
      <c r="J176" s="10">
        <v>-390873</v>
      </c>
      <c r="K176" s="10">
        <f t="shared" si="6"/>
        <v>41084</v>
      </c>
      <c r="L176" s="10"/>
    </row>
    <row r="177" spans="1:12" hidden="1" outlineLevel="1">
      <c r="A177" t="s">
        <v>177</v>
      </c>
      <c r="B177" s="10">
        <v>-31451667</v>
      </c>
      <c r="C177" s="3">
        <v>0</v>
      </c>
      <c r="D177" s="3">
        <v>0</v>
      </c>
      <c r="E177" s="10">
        <v>15629951</v>
      </c>
      <c r="F177" s="10">
        <v>5055939</v>
      </c>
      <c r="G177" s="10">
        <f t="shared" si="5"/>
        <v>20685890</v>
      </c>
      <c r="H177">
        <v>0</v>
      </c>
      <c r="I177" s="10">
        <v>-10765777</v>
      </c>
      <c r="J177" s="10">
        <v>-16746939</v>
      </c>
      <c r="K177" s="10">
        <f t="shared" si="6"/>
        <v>5981162</v>
      </c>
      <c r="L177" s="10"/>
    </row>
    <row r="178" spans="1:12" hidden="1" outlineLevel="1">
      <c r="A178" t="s">
        <v>178</v>
      </c>
      <c r="B178" s="10">
        <v>-4460907</v>
      </c>
      <c r="C178" s="3">
        <v>0</v>
      </c>
      <c r="D178" s="3">
        <v>0</v>
      </c>
      <c r="E178">
        <v>0</v>
      </c>
      <c r="F178" s="10">
        <v>1505667</v>
      </c>
      <c r="G178" s="10">
        <f t="shared" si="5"/>
        <v>1505667</v>
      </c>
      <c r="H178">
        <v>0</v>
      </c>
      <c r="I178" s="10">
        <v>-2955240</v>
      </c>
      <c r="J178" s="10">
        <v>-2957856</v>
      </c>
      <c r="K178" s="10">
        <f t="shared" si="6"/>
        <v>2616</v>
      </c>
      <c r="L178" s="10"/>
    </row>
    <row r="179" spans="1:12" hidden="1" outlineLevel="1">
      <c r="A179" t="s">
        <v>179</v>
      </c>
      <c r="B179" s="10">
        <v>-2013909</v>
      </c>
      <c r="C179" s="3">
        <v>0</v>
      </c>
      <c r="D179" s="3">
        <v>0</v>
      </c>
      <c r="E179">
        <v>0</v>
      </c>
      <c r="F179" s="10">
        <v>946437</v>
      </c>
      <c r="G179" s="10">
        <f t="shared" si="5"/>
        <v>946437</v>
      </c>
      <c r="H179">
        <v>0</v>
      </c>
      <c r="I179" s="10">
        <v>-1067472</v>
      </c>
      <c r="J179" s="10">
        <v>-1094010</v>
      </c>
      <c r="K179" s="10">
        <f t="shared" si="6"/>
        <v>26538</v>
      </c>
      <c r="L179" s="10"/>
    </row>
    <row r="180" spans="1:12" hidden="1" outlineLevel="1">
      <c r="A180" t="s">
        <v>180</v>
      </c>
      <c r="B180" s="10">
        <v>-1046817</v>
      </c>
      <c r="C180" s="3">
        <v>0</v>
      </c>
      <c r="D180" s="3">
        <v>0</v>
      </c>
      <c r="E180">
        <v>0</v>
      </c>
      <c r="F180" s="10">
        <v>471000</v>
      </c>
      <c r="G180" s="10">
        <f t="shared" si="5"/>
        <v>471000</v>
      </c>
      <c r="H180">
        <v>0</v>
      </c>
      <c r="I180" s="10">
        <v>-575817</v>
      </c>
      <c r="J180" s="10">
        <v>-575817</v>
      </c>
      <c r="K180" s="10">
        <f t="shared" si="6"/>
        <v>0</v>
      </c>
      <c r="L180" s="10"/>
    </row>
    <row r="181" spans="1:12" hidden="1" outlineLevel="1">
      <c r="A181" t="s">
        <v>181</v>
      </c>
      <c r="B181" s="10">
        <v>-9493623</v>
      </c>
      <c r="C181" s="3">
        <v>0</v>
      </c>
      <c r="D181" s="3">
        <v>0</v>
      </c>
      <c r="E181" s="10">
        <v>8812308</v>
      </c>
      <c r="F181" s="10">
        <v>949581</v>
      </c>
      <c r="G181" s="10">
        <f t="shared" si="5"/>
        <v>9761889</v>
      </c>
      <c r="H181">
        <v>0</v>
      </c>
      <c r="I181" s="10">
        <v>268266</v>
      </c>
      <c r="J181" s="10">
        <v>46428213</v>
      </c>
      <c r="K181" s="10">
        <f t="shared" si="6"/>
        <v>-46159947</v>
      </c>
      <c r="L181" s="10"/>
    </row>
    <row r="182" spans="1:12" hidden="1" outlineLevel="1">
      <c r="A182" t="s">
        <v>182</v>
      </c>
      <c r="B182" s="10">
        <v>-4524030</v>
      </c>
      <c r="C182" s="3">
        <v>0</v>
      </c>
      <c r="D182" s="3">
        <v>0</v>
      </c>
      <c r="E182" s="10">
        <v>4765141</v>
      </c>
      <c r="F182">
        <v>0</v>
      </c>
      <c r="G182" s="10">
        <f t="shared" si="5"/>
        <v>4765141</v>
      </c>
      <c r="H182">
        <v>0</v>
      </c>
      <c r="I182" s="10">
        <v>241111</v>
      </c>
      <c r="J182" s="10">
        <v>31500</v>
      </c>
      <c r="K182" s="10">
        <f t="shared" si="6"/>
        <v>209611</v>
      </c>
      <c r="L182" s="10"/>
    </row>
    <row r="183" spans="1:12" hidden="1" outlineLevel="1">
      <c r="A183" t="s">
        <v>183</v>
      </c>
      <c r="B183" s="10">
        <v>-6300555</v>
      </c>
      <c r="C183" s="3">
        <v>0</v>
      </c>
      <c r="D183" s="3">
        <v>0</v>
      </c>
      <c r="E183" s="10">
        <v>1247884</v>
      </c>
      <c r="F183" s="10">
        <v>1570416</v>
      </c>
      <c r="G183" s="10">
        <f t="shared" si="5"/>
        <v>2818300</v>
      </c>
      <c r="H183" s="10">
        <v>3577999</v>
      </c>
      <c r="I183" s="10">
        <v>95744</v>
      </c>
      <c r="J183" s="10">
        <v>287860</v>
      </c>
      <c r="K183" s="10">
        <f t="shared" si="6"/>
        <v>-192116</v>
      </c>
      <c r="L183" s="10"/>
    </row>
    <row r="184" spans="1:12" hidden="1" outlineLevel="1">
      <c r="A184" t="s">
        <v>184</v>
      </c>
      <c r="B184" s="10">
        <v>-8526378</v>
      </c>
      <c r="C184" s="3">
        <v>0</v>
      </c>
      <c r="D184" s="3">
        <v>0</v>
      </c>
      <c r="E184" s="10">
        <v>745176</v>
      </c>
      <c r="F184" s="10">
        <v>2267133</v>
      </c>
      <c r="G184" s="10">
        <f t="shared" si="5"/>
        <v>3012309</v>
      </c>
      <c r="H184" s="10">
        <v>3577999</v>
      </c>
      <c r="I184" s="10">
        <v>-1936070</v>
      </c>
      <c r="J184" s="10">
        <v>-1784576</v>
      </c>
      <c r="K184" s="10">
        <f t="shared" si="6"/>
        <v>-151494</v>
      </c>
      <c r="L184" s="10"/>
    </row>
    <row r="185" spans="1:12" hidden="1" outlineLevel="1">
      <c r="A185" t="s">
        <v>185</v>
      </c>
      <c r="B185">
        <v>0</v>
      </c>
      <c r="C185" s="3">
        <v>0</v>
      </c>
      <c r="D185" s="3">
        <v>0</v>
      </c>
      <c r="E185">
        <v>66</v>
      </c>
      <c r="F185">
        <v>0</v>
      </c>
      <c r="G185" s="10">
        <f t="shared" si="5"/>
        <v>66</v>
      </c>
      <c r="H185" s="10">
        <v>164955902</v>
      </c>
      <c r="I185" s="10">
        <v>164955968</v>
      </c>
      <c r="J185" s="10">
        <v>229647999</v>
      </c>
      <c r="K185" s="10">
        <f t="shared" si="6"/>
        <v>-64692031</v>
      </c>
      <c r="L185" s="10"/>
    </row>
    <row r="186" spans="1:12" s="4" customFormat="1" collapsed="1">
      <c r="A186" s="4" t="s">
        <v>186</v>
      </c>
      <c r="B186" s="5">
        <v>-23773812</v>
      </c>
      <c r="C186" s="5">
        <v>13545583</v>
      </c>
      <c r="D186" s="4">
        <v>0</v>
      </c>
      <c r="E186" s="5">
        <v>9200830</v>
      </c>
      <c r="F186" s="5">
        <v>929553</v>
      </c>
      <c r="G186" s="5">
        <f t="shared" si="5"/>
        <v>23675966</v>
      </c>
      <c r="H186" s="4">
        <v>0</v>
      </c>
      <c r="I186" s="5">
        <v>-97846</v>
      </c>
      <c r="J186" s="5">
        <v>832947</v>
      </c>
      <c r="K186" s="5">
        <f t="shared" si="6"/>
        <v>-930793</v>
      </c>
      <c r="L186" s="5"/>
    </row>
    <row r="187" spans="1:12" hidden="1" outlineLevel="1">
      <c r="A187" t="s">
        <v>187</v>
      </c>
      <c r="B187" s="10">
        <v>-20202166</v>
      </c>
      <c r="C187" s="10">
        <v>13545583</v>
      </c>
      <c r="D187" s="3">
        <v>0</v>
      </c>
      <c r="E187" s="10">
        <v>5529713</v>
      </c>
      <c r="F187">
        <v>0</v>
      </c>
      <c r="G187" s="10">
        <f t="shared" si="5"/>
        <v>19075296</v>
      </c>
      <c r="H187">
        <v>0</v>
      </c>
      <c r="I187" s="10">
        <v>-1126870</v>
      </c>
      <c r="J187" s="10">
        <v>-1651606</v>
      </c>
      <c r="K187" s="10">
        <f t="shared" si="6"/>
        <v>524736</v>
      </c>
      <c r="L187" s="10"/>
    </row>
    <row r="188" spans="1:12" hidden="1" outlineLevel="1">
      <c r="A188" t="s">
        <v>188</v>
      </c>
      <c r="B188" s="10">
        <v>-2618521</v>
      </c>
      <c r="C188" s="3">
        <v>0</v>
      </c>
      <c r="D188" s="3">
        <v>0</v>
      </c>
      <c r="E188" s="10">
        <v>897974</v>
      </c>
      <c r="F188" s="10">
        <v>434271</v>
      </c>
      <c r="G188" s="10">
        <f t="shared" si="5"/>
        <v>1332245</v>
      </c>
      <c r="H188">
        <v>0</v>
      </c>
      <c r="I188" s="10">
        <v>-1286276</v>
      </c>
      <c r="J188" s="10">
        <v>589271</v>
      </c>
      <c r="K188" s="10">
        <f t="shared" si="6"/>
        <v>-1875547</v>
      </c>
      <c r="L188" s="10"/>
    </row>
    <row r="189" spans="1:12" hidden="1" outlineLevel="1">
      <c r="A189" t="s">
        <v>189</v>
      </c>
      <c r="B189" s="10">
        <v>-953125</v>
      </c>
      <c r="C189" s="3">
        <v>0</v>
      </c>
      <c r="D189" s="3">
        <v>0</v>
      </c>
      <c r="E189" s="10">
        <v>2773143</v>
      </c>
      <c r="F189" s="10">
        <v>495282</v>
      </c>
      <c r="G189" s="10">
        <f t="shared" si="5"/>
        <v>3268425</v>
      </c>
      <c r="H189">
        <v>0</v>
      </c>
      <c r="I189" s="10">
        <v>2315300</v>
      </c>
      <c r="J189" s="10">
        <v>1895282</v>
      </c>
      <c r="K189" s="10">
        <f t="shared" si="6"/>
        <v>420018</v>
      </c>
      <c r="L189" s="10"/>
    </row>
    <row r="190" spans="1:12" s="4" customFormat="1" collapsed="1">
      <c r="A190" s="4" t="s">
        <v>229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10">
        <f t="shared" si="5"/>
        <v>0</v>
      </c>
      <c r="H190" s="4">
        <v>0</v>
      </c>
      <c r="I190" s="4">
        <v>0</v>
      </c>
      <c r="J190" s="4">
        <v>0</v>
      </c>
      <c r="K190" s="5">
        <f t="shared" si="6"/>
        <v>0</v>
      </c>
      <c r="L190" s="10"/>
    </row>
    <row r="191" spans="1:12" s="4" customFormat="1" ht="6.6" customHeight="1">
      <c r="G191" s="5"/>
      <c r="K191" s="5"/>
      <c r="L191" s="5"/>
    </row>
    <row r="192" spans="1:12" s="4" customFormat="1">
      <c r="B192" s="5"/>
      <c r="G192" s="5" t="s">
        <v>217</v>
      </c>
      <c r="I192" s="5">
        <v>0</v>
      </c>
      <c r="J192" s="5">
        <v>0</v>
      </c>
      <c r="K192" s="5">
        <f>+I192-J192</f>
        <v>0</v>
      </c>
      <c r="L192" s="5"/>
    </row>
    <row r="193" spans="1:12" s="3" customFormat="1" ht="6" customHeight="1">
      <c r="G193" s="10"/>
      <c r="K193" s="10"/>
      <c r="L193" s="10"/>
    </row>
    <row r="194" spans="1:12" s="3" customFormat="1" ht="15.75" thickBot="1">
      <c r="G194" s="5" t="s">
        <v>231</v>
      </c>
      <c r="I194" s="12">
        <f>+I7+I12+I39+I40+I64+I75+I94+I96+I101+I110+I119+I129+I142+I147+I190+I192+I127+I186</f>
        <v>140433159</v>
      </c>
      <c r="J194" s="12">
        <f t="shared" ref="J194:K194" si="7">+J7+J12+J39+J40+J64+J75+J94+J96+J101+J110+J119+J129+J142+J147+J190+J192+J127+J186</f>
        <v>63644854</v>
      </c>
      <c r="K194" s="12">
        <f t="shared" si="7"/>
        <v>76788305</v>
      </c>
      <c r="L194" s="10"/>
    </row>
    <row r="195" spans="1:12" s="3" customFormat="1" ht="15.75" thickTop="1">
      <c r="B195" s="10"/>
      <c r="G195" s="10"/>
      <c r="K195" s="10"/>
      <c r="L195" s="10"/>
    </row>
    <row r="196" spans="1:12" s="4" customFormat="1" ht="6.75" customHeight="1">
      <c r="G196" s="5"/>
      <c r="K196" s="5"/>
      <c r="L196" s="5"/>
    </row>
    <row r="197" spans="1:12" s="4" customFormat="1">
      <c r="A197" s="4" t="s">
        <v>190</v>
      </c>
      <c r="B197" s="5">
        <v>-56548339</v>
      </c>
      <c r="C197" s="5">
        <v>7261651</v>
      </c>
      <c r="D197" s="4">
        <v>0</v>
      </c>
      <c r="E197" s="5">
        <v>38238840</v>
      </c>
      <c r="F197" s="5">
        <v>2134659</v>
      </c>
      <c r="G197" s="5">
        <f t="shared" ref="G197:G212" si="8">SUM(B197:F197)</f>
        <v>-8913189</v>
      </c>
      <c r="H197" s="4">
        <v>0</v>
      </c>
      <c r="I197" s="5">
        <v>-8913189</v>
      </c>
      <c r="J197" s="5">
        <v>-12977479</v>
      </c>
      <c r="K197" s="5">
        <f t="shared" si="6"/>
        <v>4064290</v>
      </c>
      <c r="L197" s="5"/>
    </row>
    <row r="198" spans="1:12" hidden="1" outlineLevel="1">
      <c r="A198" t="s">
        <v>191</v>
      </c>
      <c r="B198" s="10">
        <v>-53438641</v>
      </c>
      <c r="C198" s="3">
        <v>0</v>
      </c>
      <c r="D198" s="3">
        <v>0</v>
      </c>
      <c r="E198">
        <v>0</v>
      </c>
      <c r="F198">
        <v>0</v>
      </c>
      <c r="G198" s="10">
        <f t="shared" si="8"/>
        <v>-53438641</v>
      </c>
      <c r="H198">
        <v>0</v>
      </c>
      <c r="I198" s="10">
        <v>-53438641</v>
      </c>
      <c r="J198" s="10">
        <v>-52676000</v>
      </c>
      <c r="K198" s="10">
        <f t="shared" si="6"/>
        <v>-762641</v>
      </c>
      <c r="L198" s="10"/>
    </row>
    <row r="199" spans="1:12" hidden="1" outlineLevel="1">
      <c r="A199" t="s">
        <v>192</v>
      </c>
      <c r="B199">
        <v>0</v>
      </c>
      <c r="C199" s="3">
        <v>0</v>
      </c>
      <c r="D199" s="3">
        <v>0</v>
      </c>
      <c r="E199" s="10">
        <v>16785692</v>
      </c>
      <c r="F199">
        <v>0</v>
      </c>
      <c r="G199" s="10">
        <f t="shared" si="8"/>
        <v>16785692</v>
      </c>
      <c r="H199">
        <v>0</v>
      </c>
      <c r="I199" s="10">
        <v>16785692</v>
      </c>
      <c r="J199" s="10">
        <v>16750099</v>
      </c>
      <c r="K199" s="10">
        <f t="shared" si="6"/>
        <v>35593</v>
      </c>
      <c r="L199" s="10"/>
    </row>
    <row r="200" spans="1:12" hidden="1" outlineLevel="1">
      <c r="A200" t="s">
        <v>193</v>
      </c>
      <c r="B200">
        <v>0</v>
      </c>
      <c r="C200" s="3">
        <v>0</v>
      </c>
      <c r="D200" s="3">
        <v>0</v>
      </c>
      <c r="E200" s="10">
        <v>14478391</v>
      </c>
      <c r="F200">
        <v>0</v>
      </c>
      <c r="G200" s="10">
        <f t="shared" si="8"/>
        <v>14478391</v>
      </c>
      <c r="H200">
        <v>0</v>
      </c>
      <c r="I200" s="10">
        <v>14478391</v>
      </c>
      <c r="J200" s="10">
        <v>12000000</v>
      </c>
      <c r="K200" s="10">
        <f t="shared" si="6"/>
        <v>2478391</v>
      </c>
      <c r="L200" s="10"/>
    </row>
    <row r="201" spans="1:12" hidden="1" outlineLevel="1">
      <c r="A201" t="s">
        <v>194</v>
      </c>
      <c r="B201" s="10">
        <v>-3109698</v>
      </c>
      <c r="C201" s="10">
        <v>7261651</v>
      </c>
      <c r="D201" s="3">
        <v>0</v>
      </c>
      <c r="E201" s="10">
        <v>6974757</v>
      </c>
      <c r="F201">
        <v>0</v>
      </c>
      <c r="G201" s="10">
        <f t="shared" si="8"/>
        <v>11126710</v>
      </c>
      <c r="H201">
        <v>0</v>
      </c>
      <c r="I201" s="10">
        <v>11126710</v>
      </c>
      <c r="J201" s="10">
        <v>9021531</v>
      </c>
      <c r="K201" s="10">
        <f t="shared" si="6"/>
        <v>2105179</v>
      </c>
      <c r="L201" s="10"/>
    </row>
    <row r="202" spans="1:12" hidden="1" outlineLevel="1">
      <c r="A202" t="s">
        <v>195</v>
      </c>
      <c r="B202">
        <v>0</v>
      </c>
      <c r="C202" s="3">
        <v>0</v>
      </c>
      <c r="D202" s="3">
        <v>0</v>
      </c>
      <c r="E202">
        <v>0</v>
      </c>
      <c r="F202" s="10">
        <v>2134659</v>
      </c>
      <c r="G202" s="10">
        <f t="shared" si="8"/>
        <v>2134659</v>
      </c>
      <c r="H202">
        <v>0</v>
      </c>
      <c r="I202" s="10">
        <v>2134659</v>
      </c>
      <c r="J202" s="10">
        <v>1926891</v>
      </c>
      <c r="K202" s="10">
        <f t="shared" si="6"/>
        <v>207768</v>
      </c>
      <c r="L202" s="10"/>
    </row>
    <row r="203" spans="1:12" s="4" customFormat="1" collapsed="1">
      <c r="A203" s="4" t="s">
        <v>196</v>
      </c>
      <c r="B203" s="5">
        <v>-76673830</v>
      </c>
      <c r="C203" s="4">
        <v>0</v>
      </c>
      <c r="D203" s="4">
        <v>0</v>
      </c>
      <c r="E203" s="5">
        <v>98647313</v>
      </c>
      <c r="F203" s="5">
        <v>4250214</v>
      </c>
      <c r="G203" s="5">
        <f t="shared" si="8"/>
        <v>26223697</v>
      </c>
      <c r="H203" s="5">
        <v>-321894</v>
      </c>
      <c r="I203" s="5">
        <v>25901803</v>
      </c>
      <c r="J203" s="5">
        <v>18239793</v>
      </c>
      <c r="K203" s="5">
        <f t="shared" si="6"/>
        <v>7662010</v>
      </c>
      <c r="L203" s="5"/>
    </row>
    <row r="204" spans="1:12" hidden="1" outlineLevel="1">
      <c r="A204" t="s">
        <v>197</v>
      </c>
      <c r="B204" s="10">
        <v>-76673830</v>
      </c>
      <c r="C204" s="3">
        <v>0</v>
      </c>
      <c r="D204" s="3">
        <v>0</v>
      </c>
      <c r="E204">
        <v>0</v>
      </c>
      <c r="F204">
        <v>0</v>
      </c>
      <c r="G204" s="10">
        <f t="shared" si="8"/>
        <v>-76673830</v>
      </c>
      <c r="H204">
        <v>0</v>
      </c>
      <c r="I204" s="10">
        <v>-76673830</v>
      </c>
      <c r="J204" s="10">
        <v>-90000000</v>
      </c>
      <c r="K204" s="10">
        <f t="shared" si="6"/>
        <v>13326170</v>
      </c>
      <c r="L204" s="10"/>
    </row>
    <row r="205" spans="1:12" hidden="1" outlineLevel="1">
      <c r="A205" t="s">
        <v>198</v>
      </c>
      <c r="B205">
        <v>0</v>
      </c>
      <c r="C205" s="3">
        <v>0</v>
      </c>
      <c r="D205" s="3">
        <v>0</v>
      </c>
      <c r="E205" s="10">
        <v>22679720</v>
      </c>
      <c r="F205">
        <v>0</v>
      </c>
      <c r="G205" s="10">
        <f t="shared" si="8"/>
        <v>22679720</v>
      </c>
      <c r="H205">
        <v>0</v>
      </c>
      <c r="I205" s="10">
        <v>22679720</v>
      </c>
      <c r="J205" s="10">
        <v>22714663</v>
      </c>
      <c r="K205" s="10">
        <f t="shared" si="6"/>
        <v>-34943</v>
      </c>
      <c r="L205" s="10"/>
    </row>
    <row r="206" spans="1:12" hidden="1" outlineLevel="1">
      <c r="A206" t="s">
        <v>199</v>
      </c>
      <c r="B206">
        <v>0</v>
      </c>
      <c r="C206" s="3">
        <v>0</v>
      </c>
      <c r="D206" s="3">
        <v>0</v>
      </c>
      <c r="E206" s="10">
        <v>64354135</v>
      </c>
      <c r="F206">
        <v>0</v>
      </c>
      <c r="G206" s="10">
        <f t="shared" si="8"/>
        <v>64354135</v>
      </c>
      <c r="H206">
        <v>0</v>
      </c>
      <c r="I206" s="10">
        <v>64354135</v>
      </c>
      <c r="J206" s="10">
        <v>73200000</v>
      </c>
      <c r="K206" s="10">
        <f t="shared" si="6"/>
        <v>-8845865</v>
      </c>
      <c r="L206" s="10"/>
    </row>
    <row r="207" spans="1:12" hidden="1" outlineLevel="1">
      <c r="A207" t="s">
        <v>200</v>
      </c>
      <c r="B207">
        <v>0</v>
      </c>
      <c r="C207" s="3">
        <v>0</v>
      </c>
      <c r="D207" s="3">
        <v>0</v>
      </c>
      <c r="E207" s="10">
        <v>11220322</v>
      </c>
      <c r="F207">
        <v>0</v>
      </c>
      <c r="G207" s="10">
        <f t="shared" si="8"/>
        <v>11220322</v>
      </c>
      <c r="H207">
        <v>0</v>
      </c>
      <c r="I207" s="10">
        <v>11220322</v>
      </c>
      <c r="J207" s="10">
        <v>7852698</v>
      </c>
      <c r="K207" s="10">
        <f t="shared" si="6"/>
        <v>3367624</v>
      </c>
      <c r="L207" s="10"/>
    </row>
    <row r="208" spans="1:12" hidden="1" outlineLevel="1">
      <c r="A208" t="s">
        <v>201</v>
      </c>
      <c r="B208">
        <v>0</v>
      </c>
      <c r="C208" s="3">
        <v>0</v>
      </c>
      <c r="D208" s="3">
        <v>0</v>
      </c>
      <c r="E208" s="10">
        <v>321397</v>
      </c>
      <c r="F208">
        <v>0</v>
      </c>
      <c r="G208" s="10">
        <f t="shared" si="8"/>
        <v>321397</v>
      </c>
      <c r="H208">
        <v>0</v>
      </c>
      <c r="I208" s="10">
        <v>321397</v>
      </c>
      <c r="J208" s="10">
        <v>815000</v>
      </c>
      <c r="K208" s="10">
        <f t="shared" si="6"/>
        <v>-493603</v>
      </c>
      <c r="L208" s="10"/>
    </row>
    <row r="209" spans="1:12" hidden="1" outlineLevel="1">
      <c r="A209" t="s">
        <v>202</v>
      </c>
      <c r="B209">
        <v>0</v>
      </c>
      <c r="C209" s="3">
        <v>0</v>
      </c>
      <c r="D209" s="3">
        <v>0</v>
      </c>
      <c r="E209" s="10">
        <v>71739</v>
      </c>
      <c r="F209">
        <v>0</v>
      </c>
      <c r="G209" s="10">
        <f t="shared" si="8"/>
        <v>71739</v>
      </c>
      <c r="H209" s="10">
        <v>-355568</v>
      </c>
      <c r="I209" s="10">
        <v>-283829</v>
      </c>
      <c r="J209" s="10">
        <v>-360000</v>
      </c>
      <c r="K209" s="10">
        <f t="shared" si="6"/>
        <v>76171</v>
      </c>
      <c r="L209" s="10"/>
    </row>
    <row r="210" spans="1:12" hidden="1" outlineLevel="1">
      <c r="A210" t="s">
        <v>203</v>
      </c>
      <c r="B210">
        <v>0</v>
      </c>
      <c r="C210" s="3">
        <v>0</v>
      </c>
      <c r="D210" s="3">
        <v>0</v>
      </c>
      <c r="E210">
        <v>0</v>
      </c>
      <c r="F210">
        <v>0</v>
      </c>
      <c r="G210" s="10">
        <f t="shared" si="8"/>
        <v>0</v>
      </c>
      <c r="H210" s="10">
        <v>33674</v>
      </c>
      <c r="I210" s="10">
        <v>33674</v>
      </c>
      <c r="J210">
        <v>0</v>
      </c>
      <c r="K210" s="10">
        <f t="shared" si="6"/>
        <v>33674</v>
      </c>
      <c r="L210" s="10"/>
    </row>
    <row r="211" spans="1:12" hidden="1" outlineLevel="1">
      <c r="A211" t="s">
        <v>204</v>
      </c>
      <c r="B211">
        <v>0</v>
      </c>
      <c r="C211" s="3">
        <v>0</v>
      </c>
      <c r="D211" s="3">
        <v>0</v>
      </c>
      <c r="E211">
        <v>0</v>
      </c>
      <c r="F211" s="10">
        <v>4250214</v>
      </c>
      <c r="G211" s="10">
        <f t="shared" si="8"/>
        <v>4250214</v>
      </c>
      <c r="H211">
        <v>0</v>
      </c>
      <c r="I211" s="10">
        <v>4250214</v>
      </c>
      <c r="J211" s="10">
        <v>4017432</v>
      </c>
      <c r="K211" s="10">
        <f t="shared" si="6"/>
        <v>232782</v>
      </c>
      <c r="L211" s="10"/>
    </row>
    <row r="212" spans="1:12" s="4" customFormat="1" collapsed="1">
      <c r="A212" s="4" t="s">
        <v>205</v>
      </c>
      <c r="B212" s="5">
        <v>-13232511</v>
      </c>
      <c r="C212" s="4">
        <v>0</v>
      </c>
      <c r="D212" s="4">
        <v>0</v>
      </c>
      <c r="E212" s="5">
        <v>19209050</v>
      </c>
      <c r="F212" s="5">
        <v>7496789</v>
      </c>
      <c r="G212" s="5">
        <f t="shared" si="8"/>
        <v>13473328</v>
      </c>
      <c r="H212" s="5">
        <v>2895187</v>
      </c>
      <c r="I212" s="5">
        <v>16368515</v>
      </c>
      <c r="J212" s="5">
        <v>11880665</v>
      </c>
      <c r="K212" s="68">
        <f t="shared" si="6"/>
        <v>4487850</v>
      </c>
      <c r="L212" s="5"/>
    </row>
    <row r="213" spans="1:12" s="4" customFormat="1">
      <c r="A213" s="4" t="s">
        <v>206</v>
      </c>
      <c r="B213" s="5">
        <v>-6008070</v>
      </c>
      <c r="C213" s="4">
        <v>0</v>
      </c>
      <c r="D213" s="4">
        <v>0</v>
      </c>
      <c r="E213" s="5">
        <v>7597845</v>
      </c>
      <c r="F213" s="5">
        <v>50293</v>
      </c>
      <c r="G213" s="5">
        <f t="shared" ref="G213:G223" si="9">SUM(B213:F213)</f>
        <v>1640068</v>
      </c>
      <c r="H213" s="5">
        <v>2065114</v>
      </c>
      <c r="I213" s="5">
        <v>3705182</v>
      </c>
      <c r="J213" s="5">
        <v>1268321</v>
      </c>
      <c r="K213" s="5">
        <f t="shared" ref="K213:K223" si="10">+I213-J213</f>
        <v>2436861</v>
      </c>
      <c r="L213" s="5"/>
    </row>
    <row r="214" spans="1:12" hidden="1" outlineLevel="1">
      <c r="A214" t="s">
        <v>207</v>
      </c>
      <c r="B214">
        <v>0</v>
      </c>
      <c r="C214" s="3">
        <v>0</v>
      </c>
      <c r="D214" s="3">
        <v>0</v>
      </c>
      <c r="E214">
        <v>0</v>
      </c>
      <c r="F214" s="10">
        <v>50293</v>
      </c>
      <c r="G214" s="10">
        <f t="shared" si="9"/>
        <v>50293</v>
      </c>
      <c r="H214">
        <v>0</v>
      </c>
      <c r="I214" s="10">
        <v>50293</v>
      </c>
      <c r="J214" s="10">
        <v>50293</v>
      </c>
      <c r="K214" s="10">
        <f t="shared" si="10"/>
        <v>0</v>
      </c>
      <c r="L214" s="10"/>
    </row>
    <row r="215" spans="1:12" hidden="1" outlineLevel="1">
      <c r="A215" t="s">
        <v>208</v>
      </c>
      <c r="B215" s="10">
        <v>-6008070</v>
      </c>
      <c r="C215" s="3">
        <v>0</v>
      </c>
      <c r="D215" s="3">
        <v>0</v>
      </c>
      <c r="E215" s="10">
        <v>7597845</v>
      </c>
      <c r="F215">
        <v>0</v>
      </c>
      <c r="G215" s="10">
        <f t="shared" si="9"/>
        <v>1589775</v>
      </c>
      <c r="H215">
        <v>0</v>
      </c>
      <c r="I215" s="10">
        <v>1589775</v>
      </c>
      <c r="J215" s="10">
        <v>6973</v>
      </c>
      <c r="K215" s="10">
        <f t="shared" si="10"/>
        <v>1582802</v>
      </c>
      <c r="L215" s="10"/>
    </row>
    <row r="216" spans="1:12" hidden="1" outlineLevel="1">
      <c r="A216" t="s">
        <v>209</v>
      </c>
      <c r="B216">
        <v>0</v>
      </c>
      <c r="C216" s="3">
        <v>0</v>
      </c>
      <c r="D216" s="3">
        <v>0</v>
      </c>
      <c r="E216">
        <v>0</v>
      </c>
      <c r="F216">
        <v>0</v>
      </c>
      <c r="G216" s="10">
        <f t="shared" si="9"/>
        <v>0</v>
      </c>
      <c r="H216" s="10">
        <v>2065114</v>
      </c>
      <c r="I216" s="10">
        <v>2065114</v>
      </c>
      <c r="J216" s="10">
        <v>1211055</v>
      </c>
      <c r="K216" s="10">
        <f t="shared" si="10"/>
        <v>854059</v>
      </c>
      <c r="L216" s="10"/>
    </row>
    <row r="217" spans="1:12" s="4" customFormat="1" collapsed="1">
      <c r="A217" s="4" t="s">
        <v>210</v>
      </c>
      <c r="B217" s="5">
        <v>-70736327</v>
      </c>
      <c r="C217" s="4">
        <v>0</v>
      </c>
      <c r="D217" s="4">
        <v>0</v>
      </c>
      <c r="E217" s="5">
        <v>27094985</v>
      </c>
      <c r="F217" s="5">
        <v>7689786</v>
      </c>
      <c r="G217" s="5">
        <f t="shared" si="9"/>
        <v>-35951556</v>
      </c>
      <c r="H217" s="5">
        <v>8212264</v>
      </c>
      <c r="I217" s="5">
        <v>-27739292</v>
      </c>
      <c r="J217" s="5">
        <v>-30880287</v>
      </c>
      <c r="K217" s="5">
        <f t="shared" si="10"/>
        <v>3140995</v>
      </c>
      <c r="L217" s="5"/>
    </row>
    <row r="218" spans="1:12" hidden="1" outlineLevel="1">
      <c r="A218" t="s">
        <v>211</v>
      </c>
      <c r="B218" s="10">
        <v>-70736327</v>
      </c>
      <c r="C218" s="3">
        <v>0</v>
      </c>
      <c r="D218" s="3">
        <v>0</v>
      </c>
      <c r="E218">
        <v>0</v>
      </c>
      <c r="F218">
        <v>0</v>
      </c>
      <c r="G218" s="10">
        <f t="shared" si="9"/>
        <v>-70736327</v>
      </c>
      <c r="H218">
        <v>0</v>
      </c>
      <c r="I218" s="10">
        <v>-70736327</v>
      </c>
      <c r="J218" s="10">
        <v>-70265000</v>
      </c>
      <c r="K218" s="10">
        <f t="shared" si="10"/>
        <v>-471327</v>
      </c>
      <c r="L218" s="10"/>
    </row>
    <row r="219" spans="1:12" hidden="1" outlineLevel="1">
      <c r="A219" t="s">
        <v>212</v>
      </c>
      <c r="B219">
        <v>0</v>
      </c>
      <c r="C219" s="3">
        <v>0</v>
      </c>
      <c r="D219" s="3">
        <v>0</v>
      </c>
      <c r="E219" s="10">
        <v>20985220</v>
      </c>
      <c r="F219">
        <v>0</v>
      </c>
      <c r="G219" s="10">
        <f t="shared" si="9"/>
        <v>20985220</v>
      </c>
      <c r="H219">
        <v>0</v>
      </c>
      <c r="I219" s="10">
        <v>20985220</v>
      </c>
      <c r="J219" s="10">
        <v>18860043</v>
      </c>
      <c r="K219" s="10">
        <f t="shared" si="10"/>
        <v>2125177</v>
      </c>
      <c r="L219" s="10"/>
    </row>
    <row r="220" spans="1:12" hidden="1" outlineLevel="1">
      <c r="A220" t="s">
        <v>213</v>
      </c>
      <c r="B220">
        <v>0</v>
      </c>
      <c r="C220" s="3">
        <v>0</v>
      </c>
      <c r="D220" s="3">
        <v>0</v>
      </c>
      <c r="E220" s="10">
        <v>1875319</v>
      </c>
      <c r="F220">
        <v>0</v>
      </c>
      <c r="G220" s="10">
        <f t="shared" si="9"/>
        <v>1875319</v>
      </c>
      <c r="H220">
        <v>0</v>
      </c>
      <c r="I220" s="10">
        <v>1875319</v>
      </c>
      <c r="J220" s="10">
        <v>840000</v>
      </c>
      <c r="K220" s="10">
        <f t="shared" si="10"/>
        <v>1035319</v>
      </c>
      <c r="L220" s="10"/>
    </row>
    <row r="221" spans="1:12" hidden="1" outlineLevel="1">
      <c r="A221" t="s">
        <v>214</v>
      </c>
      <c r="B221">
        <v>0</v>
      </c>
      <c r="C221" s="3">
        <v>0</v>
      </c>
      <c r="D221" s="3">
        <v>0</v>
      </c>
      <c r="E221" s="10">
        <v>4234446</v>
      </c>
      <c r="F221">
        <v>0</v>
      </c>
      <c r="G221" s="10">
        <f t="shared" si="9"/>
        <v>4234446</v>
      </c>
      <c r="H221">
        <v>0</v>
      </c>
      <c r="I221" s="10">
        <v>4234446</v>
      </c>
      <c r="J221" s="10">
        <v>2150000</v>
      </c>
      <c r="K221" s="10">
        <f t="shared" si="10"/>
        <v>2084446</v>
      </c>
      <c r="L221" s="10"/>
    </row>
    <row r="222" spans="1:12" hidden="1" outlineLevel="1">
      <c r="A222" t="s">
        <v>215</v>
      </c>
      <c r="B222">
        <v>0</v>
      </c>
      <c r="C222" s="3">
        <v>0</v>
      </c>
      <c r="D222" s="3">
        <v>0</v>
      </c>
      <c r="E222">
        <v>0</v>
      </c>
      <c r="F222">
        <v>0</v>
      </c>
      <c r="G222" s="10">
        <f t="shared" si="9"/>
        <v>0</v>
      </c>
      <c r="H222" s="10">
        <v>8212264</v>
      </c>
      <c r="I222" s="10">
        <v>8212264</v>
      </c>
      <c r="J222" s="10">
        <v>10204251</v>
      </c>
      <c r="K222" s="10">
        <f t="shared" si="10"/>
        <v>-1991987</v>
      </c>
      <c r="L222" s="10"/>
    </row>
    <row r="223" spans="1:12" hidden="1" outlineLevel="1">
      <c r="A223" t="s">
        <v>216</v>
      </c>
      <c r="B223">
        <v>0</v>
      </c>
      <c r="C223" s="3">
        <v>0</v>
      </c>
      <c r="D223" s="3">
        <v>0</v>
      </c>
      <c r="E223">
        <v>0</v>
      </c>
      <c r="F223" s="10">
        <v>7689786</v>
      </c>
      <c r="G223" s="10">
        <f t="shared" si="9"/>
        <v>7689786</v>
      </c>
      <c r="H223">
        <v>0</v>
      </c>
      <c r="I223" s="10">
        <v>7689786</v>
      </c>
      <c r="J223" s="10">
        <v>7330419</v>
      </c>
      <c r="K223" s="10">
        <f t="shared" si="10"/>
        <v>359367</v>
      </c>
      <c r="L223" s="10"/>
    </row>
    <row r="224" spans="1:12" collapsed="1">
      <c r="H224"/>
      <c r="I224"/>
      <c r="J224"/>
      <c r="L224"/>
    </row>
    <row r="225" spans="7:12" s="4" customFormat="1" ht="6.6" customHeight="1">
      <c r="G225" s="5"/>
      <c r="K225" s="5"/>
      <c r="L225" s="5"/>
    </row>
    <row r="226" spans="7:12" s="4" customFormat="1">
      <c r="G226" s="5" t="s">
        <v>217</v>
      </c>
      <c r="I226" s="5">
        <v>9250003</v>
      </c>
      <c r="J226" s="5">
        <v>9250003</v>
      </c>
      <c r="K226" s="5">
        <f t="shared" ref="K226" si="11">+I226-J226</f>
        <v>0</v>
      </c>
      <c r="L226" s="5"/>
    </row>
    <row r="227" spans="7:12" s="3" customFormat="1" ht="6" customHeight="1">
      <c r="G227" s="10"/>
      <c r="K227" s="10"/>
      <c r="L227" s="10"/>
    </row>
    <row r="228" spans="7:12" s="3" customFormat="1" ht="15.75" thickBot="1">
      <c r="G228" s="4" t="s">
        <v>218</v>
      </c>
      <c r="I228" s="12">
        <f>+I194+I196+I197+I203+I212+I213+I217+I226</f>
        <v>159006181</v>
      </c>
      <c r="J228" s="12">
        <f>+J194+J196+J197+J203+J212+J213+J217+J226</f>
        <v>60425870</v>
      </c>
      <c r="K228" s="12">
        <f>+K194+K196+K197+K203+K212+K213+K217+K226</f>
        <v>98580311</v>
      </c>
      <c r="L228" s="10"/>
    </row>
    <row r="229" spans="7:12" ht="15.75" thickTop="1">
      <c r="G229"/>
      <c r="H229" s="10"/>
      <c r="I229"/>
      <c r="J229"/>
      <c r="L229"/>
    </row>
    <row r="230" spans="7:12">
      <c r="G230"/>
      <c r="H230" s="10"/>
      <c r="I230" s="10"/>
      <c r="J230"/>
      <c r="L230"/>
    </row>
    <row r="231" spans="7:12">
      <c r="G231"/>
      <c r="H231" s="10"/>
      <c r="I231" s="10"/>
      <c r="J231"/>
      <c r="L231"/>
    </row>
    <row r="232" spans="7:12">
      <c r="G232"/>
      <c r="I232"/>
      <c r="J232"/>
      <c r="L232"/>
    </row>
  </sheetData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5" sqref="J15"/>
    </sheetView>
  </sheetViews>
  <sheetFormatPr defaultColWidth="8.85546875" defaultRowHeight="15"/>
  <cols>
    <col min="1" max="1" width="1.85546875" style="18" customWidth="1"/>
    <col min="2" max="2" width="35.5703125" style="3" customWidth="1"/>
    <col min="3" max="3" width="13.28515625" style="3" customWidth="1"/>
    <col min="4" max="4" width="15.5703125" style="3" customWidth="1"/>
    <col min="5" max="5" width="15" style="3" customWidth="1"/>
    <col min="6" max="6" width="7.7109375" style="3" customWidth="1"/>
    <col min="7" max="7" width="5" style="18" customWidth="1"/>
    <col min="8" max="8" width="8.85546875" style="18"/>
    <col min="9" max="16384" width="8.85546875" style="3"/>
  </cols>
  <sheetData>
    <row r="1" spans="1:8" ht="5.25" customHeight="1">
      <c r="C1" s="19"/>
      <c r="D1" s="19"/>
      <c r="E1" s="19"/>
      <c r="F1" s="19"/>
      <c r="G1" s="20"/>
    </row>
    <row r="2" spans="1:8" s="26" customFormat="1">
      <c r="A2" s="21"/>
      <c r="B2" s="22" t="s">
        <v>235</v>
      </c>
      <c r="C2" s="23"/>
      <c r="D2" s="23"/>
      <c r="E2" s="23"/>
      <c r="F2" s="24"/>
      <c r="G2" s="25"/>
      <c r="H2" s="21"/>
    </row>
    <row r="3" spans="1:8" ht="6" customHeight="1">
      <c r="B3" s="27"/>
      <c r="C3" s="28"/>
      <c r="D3" s="28"/>
      <c r="E3" s="28"/>
      <c r="F3" s="29"/>
      <c r="G3" s="30"/>
    </row>
    <row r="4" spans="1:8" ht="40.5" customHeight="1">
      <c r="B4" s="31" t="s">
        <v>236</v>
      </c>
      <c r="C4" s="32" t="s">
        <v>237</v>
      </c>
      <c r="D4" s="33" t="s">
        <v>238</v>
      </c>
      <c r="E4" s="33" t="s">
        <v>239</v>
      </c>
      <c r="F4" s="34" t="s">
        <v>240</v>
      </c>
      <c r="G4" s="30"/>
    </row>
    <row r="5" spans="1:8">
      <c r="B5" s="35" t="s">
        <v>241</v>
      </c>
      <c r="C5" s="36"/>
      <c r="D5" s="36"/>
      <c r="E5" s="36"/>
      <c r="F5" s="37"/>
      <c r="G5" s="36"/>
    </row>
    <row r="6" spans="1:8">
      <c r="B6" s="38" t="s">
        <v>242</v>
      </c>
      <c r="C6" s="36">
        <f>207269690-C7</f>
        <v>189240440</v>
      </c>
      <c r="D6" s="36">
        <f>1050000000</f>
        <v>1050000000</v>
      </c>
      <c r="E6" s="36">
        <f>D6-C6</f>
        <v>860759560</v>
      </c>
      <c r="F6" s="39">
        <f>IFERROR(C6/D6,"")</f>
        <v>0.18022899047619048</v>
      </c>
      <c r="G6" s="40"/>
    </row>
    <row r="7" spans="1:8">
      <c r="B7" s="38" t="s">
        <v>243</v>
      </c>
      <c r="C7" s="36">
        <f>18029250</f>
        <v>18029250</v>
      </c>
      <c r="D7" s="36">
        <v>45000000</v>
      </c>
      <c r="E7" s="36">
        <f>D7-C7</f>
        <v>26970750</v>
      </c>
      <c r="F7" s="39">
        <f>IFERROR(C7/D7,"")</f>
        <v>0.40065000000000001</v>
      </c>
      <c r="G7" s="40"/>
    </row>
    <row r="8" spans="1:8">
      <c r="B8" s="38" t="s">
        <v>244</v>
      </c>
      <c r="C8" s="36">
        <v>9309084</v>
      </c>
      <c r="D8" s="36">
        <v>177000000</v>
      </c>
      <c r="E8" s="36">
        <f t="shared" ref="E8:E28" si="0">D8-C8</f>
        <v>167690916</v>
      </c>
      <c r="F8" s="39">
        <f t="shared" ref="F8:F28" si="1">IFERROR(C8/D8,"")</f>
        <v>5.2593694915254237E-2</v>
      </c>
      <c r="G8" s="40"/>
    </row>
    <row r="9" spans="1:8">
      <c r="B9" s="38" t="s">
        <v>245</v>
      </c>
      <c r="C9" s="36">
        <v>922051</v>
      </c>
      <c r="D9" s="36">
        <v>120000000</v>
      </c>
      <c r="E9" s="36">
        <f t="shared" si="0"/>
        <v>119077949</v>
      </c>
      <c r="F9" s="39">
        <f t="shared" si="1"/>
        <v>7.6837583333333338E-3</v>
      </c>
      <c r="G9" s="40"/>
    </row>
    <row r="10" spans="1:8">
      <c r="B10" s="38" t="s">
        <v>246</v>
      </c>
      <c r="C10" s="36">
        <v>33106075</v>
      </c>
      <c r="D10" s="36">
        <f>15000000+35000000</f>
        <v>50000000</v>
      </c>
      <c r="E10" s="36">
        <f>D10-C10</f>
        <v>16893925</v>
      </c>
      <c r="F10" s="39">
        <f>IFERROR(C10/D10,"")</f>
        <v>0.66212150000000003</v>
      </c>
      <c r="G10" s="40"/>
    </row>
    <row r="11" spans="1:8">
      <c r="B11" s="38" t="s">
        <v>247</v>
      </c>
      <c r="C11" s="36"/>
      <c r="D11" s="36"/>
      <c r="E11" s="36"/>
      <c r="F11" s="39"/>
      <c r="G11" s="40"/>
    </row>
    <row r="12" spans="1:8">
      <c r="B12" s="41" t="s">
        <v>248</v>
      </c>
      <c r="C12" s="36">
        <v>214538</v>
      </c>
      <c r="D12" s="36">
        <v>10000000</v>
      </c>
      <c r="E12" s="36">
        <f t="shared" si="0"/>
        <v>9785462</v>
      </c>
      <c r="F12" s="39">
        <f t="shared" ref="F12:F13" si="2">IFERROR(C12/D12,"")</f>
        <v>2.1453799999999999E-2</v>
      </c>
      <c r="G12" s="40"/>
    </row>
    <row r="13" spans="1:8">
      <c r="B13" s="41" t="s">
        <v>249</v>
      </c>
      <c r="C13" s="36">
        <v>0</v>
      </c>
      <c r="D13" s="36">
        <v>5000000</v>
      </c>
      <c r="E13" s="36">
        <f t="shared" si="0"/>
        <v>5000000</v>
      </c>
      <c r="F13" s="39">
        <f t="shared" si="2"/>
        <v>0</v>
      </c>
      <c r="G13" s="40"/>
    </row>
    <row r="14" spans="1:8">
      <c r="B14" s="41" t="s">
        <v>250</v>
      </c>
      <c r="C14" s="36">
        <v>5311916</v>
      </c>
      <c r="D14" s="36">
        <v>25000000</v>
      </c>
      <c r="E14" s="36">
        <f t="shared" si="0"/>
        <v>19688084</v>
      </c>
      <c r="F14" s="39">
        <f t="shared" si="1"/>
        <v>0.21247663999999999</v>
      </c>
      <c r="G14" s="40"/>
    </row>
    <row r="15" spans="1:8">
      <c r="B15" s="41" t="s">
        <v>251</v>
      </c>
      <c r="C15" s="36">
        <v>0</v>
      </c>
      <c r="D15" s="36"/>
      <c r="E15" s="36"/>
      <c r="F15" s="39" t="str">
        <f>IFERROR(C15/D15,"")</f>
        <v/>
      </c>
      <c r="G15" s="40"/>
    </row>
    <row r="16" spans="1:8">
      <c r="B16" s="38" t="s">
        <v>252</v>
      </c>
      <c r="C16" s="36">
        <v>0</v>
      </c>
      <c r="D16" s="36">
        <v>38000000</v>
      </c>
      <c r="E16" s="36">
        <f t="shared" si="0"/>
        <v>38000000</v>
      </c>
      <c r="F16" s="39">
        <f t="shared" si="1"/>
        <v>0</v>
      </c>
      <c r="G16" s="40"/>
    </row>
    <row r="17" spans="2:7">
      <c r="B17" s="38" t="s">
        <v>253</v>
      </c>
      <c r="C17" s="36">
        <v>1775415</v>
      </c>
      <c r="D17" s="36">
        <v>30000000</v>
      </c>
      <c r="E17" s="36">
        <f t="shared" si="0"/>
        <v>28224585</v>
      </c>
      <c r="F17" s="39">
        <f t="shared" si="1"/>
        <v>5.9180499999999997E-2</v>
      </c>
      <c r="G17" s="40"/>
    </row>
    <row r="18" spans="2:7">
      <c r="B18" s="38" t="s">
        <v>254</v>
      </c>
      <c r="C18" s="36">
        <v>0</v>
      </c>
      <c r="D18" s="36">
        <v>15000000</v>
      </c>
      <c r="E18" s="36">
        <f t="shared" si="0"/>
        <v>15000000</v>
      </c>
      <c r="F18" s="39">
        <f t="shared" si="1"/>
        <v>0</v>
      </c>
      <c r="G18" s="40"/>
    </row>
    <row r="19" spans="2:7">
      <c r="B19" s="38" t="s">
        <v>255</v>
      </c>
      <c r="C19" s="36">
        <v>14629969</v>
      </c>
      <c r="D19" s="36">
        <v>15000000</v>
      </c>
      <c r="E19" s="36">
        <f t="shared" si="0"/>
        <v>370031</v>
      </c>
      <c r="F19" s="39">
        <f t="shared" si="1"/>
        <v>0.9753312666666667</v>
      </c>
      <c r="G19" s="40"/>
    </row>
    <row r="20" spans="2:7">
      <c r="B20" s="38" t="s">
        <v>256</v>
      </c>
      <c r="C20" s="36">
        <v>0</v>
      </c>
      <c r="D20" s="36">
        <v>15000000</v>
      </c>
      <c r="E20" s="36">
        <f t="shared" si="0"/>
        <v>15000000</v>
      </c>
      <c r="F20" s="39">
        <f t="shared" si="1"/>
        <v>0</v>
      </c>
      <c r="G20" s="40"/>
    </row>
    <row r="21" spans="2:7">
      <c r="B21" s="38" t="s">
        <v>257</v>
      </c>
      <c r="C21" s="36">
        <v>10583894</v>
      </c>
      <c r="D21" s="36">
        <v>10000000</v>
      </c>
      <c r="E21" s="36">
        <f t="shared" si="0"/>
        <v>-583894</v>
      </c>
      <c r="F21" s="39">
        <f t="shared" si="1"/>
        <v>1.0583894</v>
      </c>
      <c r="G21" s="40"/>
    </row>
    <row r="22" spans="2:7">
      <c r="B22" s="38" t="s">
        <v>258</v>
      </c>
      <c r="C22" s="36">
        <v>10022233</v>
      </c>
      <c r="D22" s="36">
        <v>10000000</v>
      </c>
      <c r="E22" s="36">
        <f t="shared" si="0"/>
        <v>-22233</v>
      </c>
      <c r="F22" s="39">
        <f t="shared" si="1"/>
        <v>1.0022233</v>
      </c>
      <c r="G22" s="40"/>
    </row>
    <row r="23" spans="2:7">
      <c r="B23" s="38" t="s">
        <v>259</v>
      </c>
      <c r="C23" s="36">
        <v>0</v>
      </c>
      <c r="D23" s="36">
        <v>10000000</v>
      </c>
      <c r="E23" s="36">
        <f t="shared" si="0"/>
        <v>10000000</v>
      </c>
      <c r="F23" s="39">
        <f t="shared" si="1"/>
        <v>0</v>
      </c>
      <c r="G23" s="40"/>
    </row>
    <row r="24" spans="2:7">
      <c r="B24" s="38" t="s">
        <v>260</v>
      </c>
      <c r="C24" s="36">
        <v>0</v>
      </c>
      <c r="D24" s="36">
        <v>10000000</v>
      </c>
      <c r="E24" s="36">
        <f t="shared" si="0"/>
        <v>10000000</v>
      </c>
      <c r="F24" s="39">
        <f t="shared" si="1"/>
        <v>0</v>
      </c>
      <c r="G24" s="40"/>
    </row>
    <row r="25" spans="2:7">
      <c r="B25" s="38" t="s">
        <v>261</v>
      </c>
      <c r="C25" s="36">
        <v>2485700</v>
      </c>
      <c r="D25" s="36">
        <v>7000000</v>
      </c>
      <c r="E25" s="36">
        <f t="shared" si="0"/>
        <v>4514300</v>
      </c>
      <c r="F25" s="39">
        <f t="shared" si="1"/>
        <v>0.35510000000000003</v>
      </c>
      <c r="G25" s="40"/>
    </row>
    <row r="26" spans="2:7">
      <c r="B26" s="38" t="s">
        <v>262</v>
      </c>
      <c r="C26" s="36">
        <v>564200</v>
      </c>
      <c r="D26" s="36">
        <v>5000000</v>
      </c>
      <c r="E26" s="36">
        <f t="shared" si="0"/>
        <v>4435800</v>
      </c>
      <c r="F26" s="39">
        <f t="shared" si="1"/>
        <v>0.11284</v>
      </c>
      <c r="G26" s="40"/>
    </row>
    <row r="27" spans="2:7">
      <c r="B27" s="38" t="s">
        <v>263</v>
      </c>
      <c r="C27" s="36">
        <v>2677542</v>
      </c>
      <c r="D27" s="36">
        <v>5000000</v>
      </c>
      <c r="E27" s="36">
        <f>D27-C27</f>
        <v>2322458</v>
      </c>
      <c r="F27" s="39">
        <f t="shared" si="1"/>
        <v>0.5355084</v>
      </c>
      <c r="G27" s="40"/>
    </row>
    <row r="28" spans="2:7">
      <c r="B28" s="38" t="s">
        <v>264</v>
      </c>
      <c r="C28" s="36">
        <v>0</v>
      </c>
      <c r="D28" s="36">
        <v>4000000</v>
      </c>
      <c r="E28" s="36">
        <f t="shared" si="0"/>
        <v>4000000</v>
      </c>
      <c r="F28" s="39">
        <f t="shared" si="1"/>
        <v>0</v>
      </c>
      <c r="G28" s="40"/>
    </row>
    <row r="29" spans="2:7">
      <c r="B29" s="42" t="s">
        <v>265</v>
      </c>
      <c r="C29" s="43">
        <f>+SUM(C6:C28)</f>
        <v>298872307</v>
      </c>
      <c r="D29" s="43">
        <f>+SUM(D6:D28)</f>
        <v>1656000000</v>
      </c>
      <c r="E29" s="43">
        <f>+SUM(E6:E28)</f>
        <v>1357127693</v>
      </c>
      <c r="F29" s="44">
        <f t="shared" ref="F29" si="3">C29/D29</f>
        <v>0.18047844625603865</v>
      </c>
      <c r="G29" s="40"/>
    </row>
    <row r="30" spans="2:7" ht="8.25" customHeight="1">
      <c r="B30" s="38"/>
      <c r="C30" s="36"/>
      <c r="D30" s="36"/>
      <c r="E30" s="36"/>
      <c r="F30" s="37"/>
      <c r="G30" s="36"/>
    </row>
    <row r="31" spans="2:7">
      <c r="B31" s="31" t="s">
        <v>266</v>
      </c>
      <c r="C31" s="36"/>
      <c r="D31" s="36"/>
      <c r="E31" s="36"/>
      <c r="F31" s="37"/>
      <c r="G31" s="36"/>
    </row>
    <row r="32" spans="2:7">
      <c r="B32" s="38" t="s">
        <v>267</v>
      </c>
      <c r="C32" s="36">
        <v>97456536</v>
      </c>
      <c r="D32" s="36">
        <f>648000000</f>
        <v>648000000</v>
      </c>
      <c r="E32" s="36">
        <f>D32-C32</f>
        <v>550543464</v>
      </c>
      <c r="F32" s="39">
        <f t="shared" ref="F32:F34" si="4">IFERROR(C32/D32,"")</f>
        <v>0.15039588888888888</v>
      </c>
      <c r="G32" s="40"/>
    </row>
    <row r="33" spans="2:7">
      <c r="B33" s="38" t="s">
        <v>268</v>
      </c>
      <c r="C33" s="36">
        <v>0</v>
      </c>
      <c r="D33" s="36">
        <v>52000000</v>
      </c>
      <c r="E33" s="36">
        <f>D33-C33</f>
        <v>52000000</v>
      </c>
      <c r="F33" s="39">
        <f t="shared" si="4"/>
        <v>0</v>
      </c>
      <c r="G33" s="40"/>
    </row>
    <row r="34" spans="2:7">
      <c r="B34" s="38" t="s">
        <v>269</v>
      </c>
      <c r="C34" s="36">
        <v>-128212691</v>
      </c>
      <c r="D34" s="36">
        <v>-675000000</v>
      </c>
      <c r="E34" s="36">
        <f>D34-C34</f>
        <v>-546787309</v>
      </c>
      <c r="F34" s="39">
        <f t="shared" si="4"/>
        <v>0.18994472740740742</v>
      </c>
      <c r="G34" s="40"/>
    </row>
    <row r="35" spans="2:7">
      <c r="B35" s="42" t="s">
        <v>270</v>
      </c>
      <c r="C35" s="43">
        <f>SUM(C32:C34)</f>
        <v>-30756155</v>
      </c>
      <c r="D35" s="43">
        <f t="shared" ref="D35:E35" si="5">SUM(D32:D34)</f>
        <v>25000000</v>
      </c>
      <c r="E35" s="43">
        <f t="shared" si="5"/>
        <v>55756155</v>
      </c>
      <c r="F35" s="44">
        <f t="shared" ref="F35" si="6">C35/D35</f>
        <v>-1.2302462000000001</v>
      </c>
      <c r="G35" s="40"/>
    </row>
    <row r="36" spans="2:7" ht="8.25" customHeight="1">
      <c r="B36" s="38"/>
      <c r="C36" s="36"/>
      <c r="D36" s="36"/>
      <c r="E36" s="36"/>
      <c r="F36" s="37"/>
      <c r="G36" s="36"/>
    </row>
    <row r="37" spans="2:7">
      <c r="B37" s="31" t="s">
        <v>271</v>
      </c>
      <c r="C37" s="36"/>
      <c r="D37" s="36"/>
      <c r="E37" s="36"/>
      <c r="F37" s="37"/>
      <c r="G37" s="36"/>
    </row>
    <row r="38" spans="2:7">
      <c r="B38" s="38" t="s">
        <v>272</v>
      </c>
      <c r="C38" s="45">
        <v>0</v>
      </c>
      <c r="D38" s="45">
        <v>12000000</v>
      </c>
      <c r="E38" s="45">
        <f>D38-C38</f>
        <v>12000000</v>
      </c>
      <c r="F38" s="46">
        <f>IFERROR(C38/D38,"")</f>
        <v>0</v>
      </c>
      <c r="G38" s="36"/>
    </row>
    <row r="39" spans="2:7" ht="8.25" customHeight="1">
      <c r="B39" s="38"/>
      <c r="C39" s="36"/>
      <c r="D39" s="36"/>
      <c r="E39" s="36"/>
      <c r="F39" s="37"/>
      <c r="G39" s="36"/>
    </row>
    <row r="40" spans="2:7">
      <c r="B40" s="47" t="s">
        <v>273</v>
      </c>
      <c r="C40" s="48">
        <f>+C29+C35+C38</f>
        <v>268116152</v>
      </c>
      <c r="D40" s="48">
        <f>+D29+D35+D38</f>
        <v>1693000000</v>
      </c>
      <c r="E40" s="48">
        <f>D40-C40</f>
        <v>1424883848</v>
      </c>
      <c r="F40" s="44">
        <f t="shared" ref="F40" si="7">C40/D40</f>
        <v>0.15836748493797992</v>
      </c>
      <c r="G40" s="49"/>
    </row>
    <row r="41" spans="2:7">
      <c r="B41" s="50"/>
      <c r="C41" s="18"/>
      <c r="D41" s="18"/>
      <c r="E41" s="18"/>
      <c r="F41" s="51"/>
    </row>
    <row r="42" spans="2:7">
      <c r="B42" s="31" t="s">
        <v>274</v>
      </c>
      <c r="C42" s="52"/>
      <c r="D42" s="52"/>
      <c r="E42" s="52"/>
      <c r="F42" s="53"/>
      <c r="G42" s="54"/>
    </row>
    <row r="43" spans="2:7" ht="8.25" customHeight="1">
      <c r="B43" s="35"/>
      <c r="C43" s="55"/>
      <c r="D43" s="55"/>
      <c r="E43" s="55"/>
      <c r="F43" s="56"/>
      <c r="G43" s="36"/>
    </row>
    <row r="44" spans="2:7">
      <c r="B44" s="38" t="s">
        <v>275</v>
      </c>
      <c r="C44" s="36">
        <v>19600181</v>
      </c>
      <c r="D44" s="36">
        <v>90000000</v>
      </c>
      <c r="E44" s="36">
        <f>D44-C44</f>
        <v>70399819</v>
      </c>
      <c r="F44" s="39">
        <f t="shared" ref="F44:F49" si="8">IFERROR(C44/D44,"")</f>
        <v>0.21777978888888888</v>
      </c>
      <c r="G44" s="40"/>
    </row>
    <row r="45" spans="2:7">
      <c r="B45" s="38" t="s">
        <v>276</v>
      </c>
      <c r="C45" s="36">
        <v>37589850</v>
      </c>
      <c r="D45" s="36">
        <v>326000000</v>
      </c>
      <c r="E45" s="36">
        <f t="shared" ref="E45:E48" si="9">D45-C45</f>
        <v>288410150</v>
      </c>
      <c r="F45" s="39">
        <f t="shared" si="8"/>
        <v>0.11530628834355829</v>
      </c>
      <c r="G45" s="40"/>
    </row>
    <row r="46" spans="2:7">
      <c r="B46" s="38" t="s">
        <v>277</v>
      </c>
      <c r="C46" s="36">
        <v>36384940</v>
      </c>
      <c r="D46" s="36">
        <v>169000000</v>
      </c>
      <c r="E46" s="36">
        <f t="shared" si="9"/>
        <v>132615060</v>
      </c>
      <c r="F46" s="39">
        <f t="shared" si="8"/>
        <v>0.21529550295857988</v>
      </c>
      <c r="G46" s="40"/>
    </row>
    <row r="47" spans="2:7">
      <c r="B47" s="38" t="s">
        <v>278</v>
      </c>
      <c r="C47" s="57">
        <v>0</v>
      </c>
      <c r="D47" s="57">
        <v>94000000</v>
      </c>
      <c r="E47" s="57">
        <f t="shared" si="9"/>
        <v>94000000</v>
      </c>
      <c r="F47" s="58">
        <f t="shared" si="8"/>
        <v>0</v>
      </c>
      <c r="G47" s="59"/>
    </row>
    <row r="48" spans="2:7">
      <c r="B48" s="38" t="s">
        <v>279</v>
      </c>
      <c r="C48" s="57">
        <v>-38875565</v>
      </c>
      <c r="D48" s="57">
        <v>-42000000</v>
      </c>
      <c r="E48" s="57">
        <f t="shared" si="9"/>
        <v>-3124435</v>
      </c>
      <c r="F48" s="58">
        <f t="shared" si="8"/>
        <v>0.92560869047619043</v>
      </c>
      <c r="G48" s="59"/>
    </row>
    <row r="49" spans="2:7" ht="8.25" customHeight="1">
      <c r="B49" s="38"/>
      <c r="C49" s="36"/>
      <c r="D49" s="36"/>
      <c r="E49" s="36"/>
      <c r="F49" s="39" t="str">
        <f t="shared" si="8"/>
        <v/>
      </c>
      <c r="G49" s="36"/>
    </row>
    <row r="50" spans="2:7">
      <c r="B50" s="47" t="s">
        <v>280</v>
      </c>
      <c r="C50" s="48">
        <f>+SUM(C44:C48)</f>
        <v>54699406</v>
      </c>
      <c r="D50" s="48">
        <f>+SUM(D44:D48)</f>
        <v>637000000</v>
      </c>
      <c r="E50" s="48">
        <f>D50-C50</f>
        <v>582300594</v>
      </c>
      <c r="F50" s="44">
        <f t="shared" ref="F50" si="10">C50/D50</f>
        <v>8.5870339089481953E-2</v>
      </c>
      <c r="G50" s="49"/>
    </row>
    <row r="51" spans="2:7">
      <c r="B51" s="60"/>
      <c r="C51" s="61"/>
      <c r="D51" s="61"/>
      <c r="E51" s="61"/>
      <c r="F51" s="62"/>
      <c r="G51" s="63"/>
    </row>
    <row r="52" spans="2:7">
      <c r="B52" s="47" t="s">
        <v>281</v>
      </c>
      <c r="C52" s="48">
        <f>+C50+C40</f>
        <v>322815558</v>
      </c>
      <c r="D52" s="48">
        <f>+D50+D40</f>
        <v>2330000000</v>
      </c>
      <c r="E52" s="48">
        <f>D52-C52</f>
        <v>2007184442</v>
      </c>
      <c r="F52" s="44">
        <f t="shared" ref="F52" si="11">C52/D52</f>
        <v>0.13854744978540773</v>
      </c>
      <c r="G52" s="49"/>
    </row>
    <row r="53" spans="2:7" s="18" customFormat="1"/>
  </sheetData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J41"/>
  <sheetViews>
    <sheetView showGridLines="0" zoomScaleNormal="100" workbookViewId="0">
      <selection activeCell="G28" sqref="G28"/>
    </sheetView>
  </sheetViews>
  <sheetFormatPr defaultColWidth="8.85546875" defaultRowHeight="15"/>
  <cols>
    <col min="1" max="1" width="0.28515625" style="65" customWidth="1"/>
    <col min="2" max="2" width="0" style="65" hidden="1" customWidth="1"/>
    <col min="3" max="3" width="24" style="65" customWidth="1"/>
    <col min="4" max="4" width="12.7109375" style="65" customWidth="1"/>
    <col min="5" max="7" width="16.28515625" style="65" customWidth="1"/>
    <col min="8" max="8" width="13.85546875" style="65" customWidth="1"/>
    <col min="9" max="9" width="0" style="65" hidden="1" customWidth="1"/>
    <col min="10" max="10" width="13.140625" style="65" customWidth="1"/>
    <col min="11" max="11" width="1.85546875" style="65" customWidth="1"/>
    <col min="12" max="12" width="0" style="65" hidden="1" customWidth="1"/>
    <col min="13" max="16384" width="8.85546875" style="65"/>
  </cols>
  <sheetData>
    <row r="1" spans="3:10" ht="82.15" customHeight="1">
      <c r="H1" s="74"/>
      <c r="I1" s="67"/>
      <c r="J1" s="67"/>
    </row>
    <row r="2" spans="3:10" ht="19.899999999999999" customHeight="1">
      <c r="C2" s="87" t="s">
        <v>282</v>
      </c>
      <c r="D2" s="87"/>
      <c r="E2" s="87"/>
      <c r="F2" s="87"/>
      <c r="G2" s="87"/>
      <c r="H2" s="66"/>
      <c r="I2" s="66"/>
      <c r="J2" s="66"/>
    </row>
    <row r="3" spans="3:10" ht="1.1499999999999999" customHeight="1">
      <c r="C3" s="66"/>
      <c r="D3" s="66"/>
      <c r="E3" s="66"/>
      <c r="F3" s="66"/>
      <c r="G3" s="66"/>
      <c r="H3" s="66"/>
      <c r="I3" s="66"/>
      <c r="J3" s="66"/>
    </row>
    <row r="4" spans="3:10" ht="9.4" customHeight="1">
      <c r="C4" s="66"/>
      <c r="D4" s="66"/>
      <c r="E4" s="66"/>
      <c r="F4" s="66"/>
      <c r="G4" s="66"/>
      <c r="H4" s="66"/>
      <c r="I4" s="66"/>
      <c r="J4" s="66"/>
    </row>
    <row r="5" spans="3:10" ht="4.5" customHeight="1">
      <c r="C5" s="66"/>
      <c r="D5" s="66"/>
      <c r="E5" s="66"/>
      <c r="F5" s="66"/>
      <c r="G5" s="66"/>
      <c r="H5" s="66"/>
      <c r="I5" s="66"/>
      <c r="J5" s="66"/>
    </row>
    <row r="6" spans="3:10" ht="2.1" customHeight="1"/>
    <row r="7" spans="3:10" ht="14.25" customHeight="1">
      <c r="C7" s="88" t="s">
        <v>298</v>
      </c>
      <c r="D7" s="88"/>
      <c r="E7" s="88"/>
      <c r="F7" s="88"/>
      <c r="G7" s="88"/>
      <c r="H7" s="73"/>
      <c r="I7" s="67"/>
      <c r="J7" s="67"/>
    </row>
    <row r="8" spans="3:10" ht="3" customHeight="1"/>
    <row r="9" spans="3:10" ht="3" customHeight="1"/>
    <row r="10" spans="3:10" ht="14.45" customHeight="1">
      <c r="C10" s="80"/>
      <c r="D10" s="81"/>
      <c r="E10" s="69" t="s">
        <v>299</v>
      </c>
      <c r="F10" s="69" t="s">
        <v>300</v>
      </c>
      <c r="G10" s="69" t="s">
        <v>301</v>
      </c>
      <c r="H10" s="70"/>
    </row>
    <row r="11" spans="3:10" ht="8.25" customHeight="1">
      <c r="C11" s="70"/>
      <c r="D11" s="70"/>
      <c r="E11" s="70"/>
      <c r="F11" s="70"/>
      <c r="G11" s="70"/>
      <c r="H11" s="70"/>
    </row>
    <row r="12" spans="3:10">
      <c r="C12" s="82" t="s">
        <v>283</v>
      </c>
      <c r="D12" s="83"/>
      <c r="E12" s="71" t="s">
        <v>283</v>
      </c>
      <c r="F12" s="71" t="s">
        <v>283</v>
      </c>
      <c r="G12" s="71" t="s">
        <v>283</v>
      </c>
      <c r="H12" s="75"/>
    </row>
    <row r="13" spans="3:10">
      <c r="C13" s="86" t="s">
        <v>283</v>
      </c>
      <c r="D13" s="85"/>
      <c r="E13" s="76" t="s">
        <v>283</v>
      </c>
      <c r="F13" s="76" t="s">
        <v>283</v>
      </c>
      <c r="G13" s="76" t="s">
        <v>283</v>
      </c>
      <c r="H13" s="70"/>
    </row>
    <row r="14" spans="3:10">
      <c r="C14" s="84" t="s">
        <v>284</v>
      </c>
      <c r="D14" s="85"/>
      <c r="E14" s="77" t="s">
        <v>283</v>
      </c>
      <c r="F14" s="77" t="s">
        <v>283</v>
      </c>
      <c r="G14" s="77" t="s">
        <v>283</v>
      </c>
      <c r="H14" s="70"/>
    </row>
    <row r="15" spans="3:10" ht="5.25" customHeight="1">
      <c r="C15" s="86" t="s">
        <v>283</v>
      </c>
      <c r="D15" s="85"/>
      <c r="E15" s="76" t="s">
        <v>283</v>
      </c>
      <c r="F15" s="76" t="s">
        <v>283</v>
      </c>
      <c r="G15" s="76" t="s">
        <v>283</v>
      </c>
      <c r="H15" s="70"/>
    </row>
    <row r="16" spans="3:10">
      <c r="C16" s="84" t="s">
        <v>285</v>
      </c>
      <c r="D16" s="85"/>
      <c r="E16" s="77" t="s">
        <v>283</v>
      </c>
      <c r="F16" s="77" t="s">
        <v>283</v>
      </c>
      <c r="G16" s="77" t="s">
        <v>283</v>
      </c>
      <c r="H16" s="70"/>
    </row>
    <row r="17" spans="3:8">
      <c r="C17" s="86" t="s">
        <v>286</v>
      </c>
      <c r="D17" s="85"/>
      <c r="E17" s="78">
        <v>-1920869350</v>
      </c>
      <c r="F17" s="78">
        <v>-2026381244</v>
      </c>
      <c r="G17" s="78">
        <v>105511894</v>
      </c>
      <c r="H17" s="70"/>
    </row>
    <row r="18" spans="3:8">
      <c r="C18" s="86" t="s">
        <v>287</v>
      </c>
      <c r="D18" s="85"/>
      <c r="E18" s="78">
        <v>-440859016</v>
      </c>
      <c r="F18" s="78">
        <v>-444632210</v>
      </c>
      <c r="G18" s="78">
        <v>3773194</v>
      </c>
      <c r="H18" s="70"/>
    </row>
    <row r="19" spans="3:8">
      <c r="C19" s="86" t="s">
        <v>288</v>
      </c>
      <c r="D19" s="85"/>
      <c r="E19" s="78">
        <f>-1235227215-32526458</f>
        <v>-1267753673</v>
      </c>
      <c r="F19" s="78">
        <v>-1311494725</v>
      </c>
      <c r="G19" s="78">
        <f>76267510-32526458</f>
        <v>43741052</v>
      </c>
      <c r="H19" s="70"/>
    </row>
    <row r="20" spans="3:8">
      <c r="C20" s="84" t="s">
        <v>289</v>
      </c>
      <c r="D20" s="85"/>
      <c r="E20" s="79">
        <f>SUM(E17:E19)</f>
        <v>-3629482039</v>
      </c>
      <c r="F20" s="79">
        <f>SUM(F17:F19)</f>
        <v>-3782508179</v>
      </c>
      <c r="G20" s="79">
        <f>SUM(G17:G19)</f>
        <v>153026140</v>
      </c>
      <c r="H20" s="70"/>
    </row>
    <row r="21" spans="3:8" ht="8.25" customHeight="1">
      <c r="C21" s="86" t="s">
        <v>283</v>
      </c>
      <c r="D21" s="85"/>
      <c r="E21" s="76" t="s">
        <v>283</v>
      </c>
      <c r="F21" s="76" t="s">
        <v>283</v>
      </c>
      <c r="G21" s="76" t="s">
        <v>283</v>
      </c>
      <c r="H21" s="70"/>
    </row>
    <row r="22" spans="3:8">
      <c r="C22" s="84" t="s">
        <v>290</v>
      </c>
      <c r="D22" s="85"/>
      <c r="E22" s="77" t="s">
        <v>283</v>
      </c>
      <c r="F22" s="77" t="s">
        <v>283</v>
      </c>
      <c r="G22" s="77" t="s">
        <v>283</v>
      </c>
      <c r="H22" s="70"/>
    </row>
    <row r="23" spans="3:8">
      <c r="C23" s="86" t="s">
        <v>291</v>
      </c>
      <c r="D23" s="85"/>
      <c r="E23" s="78">
        <v>1475762415</v>
      </c>
      <c r="F23" s="78">
        <v>1458405316</v>
      </c>
      <c r="G23" s="78">
        <v>17357099</v>
      </c>
      <c r="H23" s="70"/>
    </row>
    <row r="24" spans="3:8">
      <c r="C24" s="86" t="s">
        <v>292</v>
      </c>
      <c r="D24" s="85"/>
      <c r="E24" s="78">
        <f>2044021696+32526458</f>
        <v>2076548154</v>
      </c>
      <c r="F24" s="78">
        <v>2112831708</v>
      </c>
      <c r="G24" s="78">
        <f>-68810012+32526458</f>
        <v>-36283554</v>
      </c>
      <c r="H24" s="70"/>
    </row>
    <row r="25" spans="3:8">
      <c r="C25" s="86" t="s">
        <v>293</v>
      </c>
      <c r="D25" s="85"/>
      <c r="E25" s="78">
        <v>119166966</v>
      </c>
      <c r="F25" s="78">
        <v>109887721</v>
      </c>
      <c r="G25" s="78">
        <v>9279245</v>
      </c>
      <c r="H25" s="70"/>
    </row>
    <row r="26" spans="3:8">
      <c r="C26" s="84" t="s">
        <v>294</v>
      </c>
      <c r="D26" s="85"/>
      <c r="E26" s="79">
        <f>SUM(E23:E25)</f>
        <v>3671477535</v>
      </c>
      <c r="F26" s="79">
        <f>SUM(F23:F25)</f>
        <v>3681124745</v>
      </c>
      <c r="G26" s="79">
        <f>SUM(G23:G25)</f>
        <v>-9647210</v>
      </c>
      <c r="H26" s="70"/>
    </row>
    <row r="27" spans="3:8" ht="8.25" customHeight="1">
      <c r="C27" s="86" t="s">
        <v>283</v>
      </c>
      <c r="D27" s="85"/>
      <c r="E27" s="76" t="s">
        <v>283</v>
      </c>
      <c r="F27" s="76" t="s">
        <v>283</v>
      </c>
      <c r="G27" s="76" t="s">
        <v>283</v>
      </c>
      <c r="H27" s="70"/>
    </row>
    <row r="28" spans="3:8">
      <c r="C28" s="84" t="s">
        <v>295</v>
      </c>
      <c r="D28" s="85"/>
      <c r="E28" s="79">
        <v>41995496</v>
      </c>
      <c r="F28" s="79">
        <v>-101383434</v>
      </c>
      <c r="G28" s="79">
        <v>143378930</v>
      </c>
      <c r="H28" s="70"/>
    </row>
    <row r="29" spans="3:8" ht="8.25" customHeight="1">
      <c r="C29" s="86" t="s">
        <v>283</v>
      </c>
      <c r="D29" s="85"/>
      <c r="E29" s="76" t="s">
        <v>283</v>
      </c>
      <c r="F29" s="76" t="s">
        <v>283</v>
      </c>
      <c r="G29" s="76" t="s">
        <v>283</v>
      </c>
      <c r="H29" s="70"/>
    </row>
    <row r="30" spans="3:8">
      <c r="C30" s="86" t="s">
        <v>233</v>
      </c>
      <c r="D30" s="85"/>
      <c r="E30" s="78">
        <v>76497642</v>
      </c>
      <c r="F30" s="78">
        <v>67065575</v>
      </c>
      <c r="G30" s="78">
        <v>9432067</v>
      </c>
      <c r="H30" s="70"/>
    </row>
    <row r="31" spans="3:8">
      <c r="C31" s="86" t="s">
        <v>234</v>
      </c>
      <c r="D31" s="85"/>
      <c r="E31" s="78">
        <v>31263040</v>
      </c>
      <c r="F31" s="78">
        <v>85493726</v>
      </c>
      <c r="G31" s="78">
        <v>-54230686</v>
      </c>
      <c r="H31" s="70"/>
    </row>
    <row r="32" spans="3:8">
      <c r="C32" s="84" t="s">
        <v>296</v>
      </c>
      <c r="D32" s="85"/>
      <c r="E32" s="79">
        <v>107760682</v>
      </c>
      <c r="F32" s="79">
        <v>152559301</v>
      </c>
      <c r="G32" s="79">
        <v>-44798619</v>
      </c>
      <c r="H32" s="70"/>
    </row>
    <row r="33" spans="3:8" ht="8.25" customHeight="1">
      <c r="C33" s="86" t="s">
        <v>283</v>
      </c>
      <c r="D33" s="85"/>
      <c r="E33" s="76" t="s">
        <v>283</v>
      </c>
      <c r="F33" s="76" t="s">
        <v>283</v>
      </c>
      <c r="G33" s="76" t="s">
        <v>283</v>
      </c>
      <c r="H33" s="70"/>
    </row>
    <row r="34" spans="3:8">
      <c r="C34" s="84" t="s">
        <v>232</v>
      </c>
      <c r="D34" s="85"/>
      <c r="E34" s="79">
        <v>149756178</v>
      </c>
      <c r="F34" s="79">
        <v>51175867</v>
      </c>
      <c r="G34" s="79">
        <v>98580311</v>
      </c>
      <c r="H34" s="70"/>
    </row>
    <row r="35" spans="3:8" ht="8.25" customHeight="1">
      <c r="C35" s="86" t="s">
        <v>283</v>
      </c>
      <c r="D35" s="85"/>
      <c r="E35" s="76" t="s">
        <v>283</v>
      </c>
      <c r="F35" s="76" t="s">
        <v>283</v>
      </c>
      <c r="G35" s="76" t="s">
        <v>283</v>
      </c>
      <c r="H35" s="70"/>
    </row>
    <row r="36" spans="3:8">
      <c r="C36" s="84" t="s">
        <v>217</v>
      </c>
      <c r="D36" s="85"/>
      <c r="E36" s="79">
        <v>9250003</v>
      </c>
      <c r="F36" s="79">
        <v>9250003</v>
      </c>
      <c r="G36" s="77" t="s">
        <v>283</v>
      </c>
      <c r="H36" s="70"/>
    </row>
    <row r="37" spans="3:8" ht="8.25" customHeight="1">
      <c r="C37" s="86" t="s">
        <v>283</v>
      </c>
      <c r="D37" s="85"/>
      <c r="E37" s="76" t="s">
        <v>283</v>
      </c>
      <c r="F37" s="76" t="s">
        <v>283</v>
      </c>
      <c r="G37" s="76" t="s">
        <v>283</v>
      </c>
      <c r="H37" s="70"/>
    </row>
    <row r="38" spans="3:8">
      <c r="C38" s="84" t="s">
        <v>297</v>
      </c>
      <c r="D38" s="85"/>
      <c r="E38" s="79">
        <v>159006181</v>
      </c>
      <c r="F38" s="79">
        <v>60425870</v>
      </c>
      <c r="G38" s="79">
        <v>98580311</v>
      </c>
      <c r="H38" s="70"/>
    </row>
    <row r="39" spans="3:8">
      <c r="C39" s="91" t="s">
        <v>283</v>
      </c>
      <c r="D39" s="81"/>
      <c r="E39" s="72" t="s">
        <v>283</v>
      </c>
      <c r="F39" s="72" t="s">
        <v>283</v>
      </c>
      <c r="G39" s="72" t="s">
        <v>283</v>
      </c>
      <c r="H39" s="70"/>
    </row>
    <row r="40" spans="3:8">
      <c r="C40" s="89" t="s">
        <v>283</v>
      </c>
      <c r="D40" s="90"/>
      <c r="E40" s="64" t="s">
        <v>283</v>
      </c>
      <c r="F40" s="64" t="s">
        <v>283</v>
      </c>
      <c r="G40" s="64" t="s">
        <v>283</v>
      </c>
    </row>
    <row r="41" spans="3:8">
      <c r="C41" s="89" t="s">
        <v>283</v>
      </c>
      <c r="D41" s="90"/>
      <c r="E41" s="64" t="s">
        <v>283</v>
      </c>
      <c r="F41" s="64" t="s">
        <v>283</v>
      </c>
      <c r="G41" s="64" t="s">
        <v>283</v>
      </c>
    </row>
  </sheetData>
  <mergeCells count="33">
    <mergeCell ref="C2:G2"/>
    <mergeCell ref="C7:G7"/>
    <mergeCell ref="C40:D40"/>
    <mergeCell ref="C41:D41"/>
    <mergeCell ref="C38:D38"/>
    <mergeCell ref="C39:D39"/>
    <mergeCell ref="C36:D36"/>
    <mergeCell ref="C37:D37"/>
    <mergeCell ref="C34:D34"/>
    <mergeCell ref="C35:D35"/>
    <mergeCell ref="C32:D32"/>
    <mergeCell ref="C33:D33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C17:D17"/>
    <mergeCell ref="C10:D10"/>
    <mergeCell ref="C12:D12"/>
    <mergeCell ref="C14:D14"/>
    <mergeCell ref="C15:D15"/>
    <mergeCell ref="C13:D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Rekstraryfirlit</vt:lpstr>
      <vt:lpstr>Fjárfestingar</vt:lpstr>
      <vt:lpstr>Rekstrarreikningur</vt:lpstr>
      <vt:lpstr>Rekstrarreikningur!Print_Area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Anna María Axelsdóttir</cp:lastModifiedBy>
  <cp:lastPrinted>2020-06-02T10:56:58Z</cp:lastPrinted>
  <dcterms:created xsi:type="dcterms:W3CDTF">2016-11-24T11:14:37Z</dcterms:created>
  <dcterms:modified xsi:type="dcterms:W3CDTF">2020-06-11T11:47:08Z</dcterms:modified>
</cp:coreProperties>
</file>